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\\Servidor\NAS\Projetos\0000 VÁRZEA GRANDE 2023\JARDIM ESMERALDA\ORÇAMENTO\ORÇAMENTO NÃO DESONERADO\"/>
    </mc:Choice>
  </mc:AlternateContent>
  <xr:revisionPtr revIDLastSave="0" documentId="13_ncr:1_{09C766C7-2C81-4267-A7CF-2F9A1A8BC1B0}" xr6:coauthVersionLast="45" xr6:coauthVersionMax="45" xr10:uidLastSave="{00000000-0000-0000-0000-000000000000}"/>
  <bookViews>
    <workbookView xWindow="28680" yWindow="3045" windowWidth="29040" windowHeight="15840" tabRatio="857" xr2:uid="{00000000-000D-0000-FFFF-FFFF00000000}"/>
  </bookViews>
  <sheets>
    <sheet name="RESUMO" sheetId="5" r:id="rId1"/>
    <sheet name="QUANT" sheetId="2" r:id="rId2"/>
    <sheet name="ORÇA " sheetId="4" r:id="rId3"/>
    <sheet name="TRANSP" sheetId="3" r:id="rId4"/>
    <sheet name="CFF" sheetId="31" r:id="rId5"/>
    <sheet name="TERRAP E PAVIM" sheetId="19" r:id="rId6"/>
    <sheet name="MEMORIAL DE CALCULO" sheetId="8" r:id="rId7"/>
    <sheet name="NS SIN HOR" sheetId="58" r:id="rId8"/>
    <sheet name="NS SIN VERT" sheetId="57" r:id="rId9"/>
    <sheet name="BDI" sheetId="22" r:id="rId10"/>
    <sheet name="BDI DIFERENCIADO" sheetId="33" r:id="rId11"/>
    <sheet name="DRENO PROF" sheetId="54" r:id="rId12"/>
  </sheets>
  <externalReferences>
    <externalReference r:id="rId13"/>
  </externalReferences>
  <definedNames>
    <definedName name="_xlnm.Print_Area" localSheetId="4">CFF!#REF!</definedName>
    <definedName name="_xlnm.Print_Area" localSheetId="2">'ORÇA '!$A$1:$J$54</definedName>
    <definedName name="_xlnm.Print_Area" localSheetId="1">QUANT!$A$1:$F$51</definedName>
    <definedName name="_xlnm.Print_Area" localSheetId="3">TRANSP!$A$13:$J$24</definedName>
    <definedName name="_xlnm.Print_Titles" localSheetId="2">'ORÇA '!$1:$6</definedName>
    <definedName name="_xlnm.Print_Titles" localSheetId="1">QUANT!$1:$6</definedName>
    <definedName name="Z_E8D46A29_8D28_49CA_936A_9705D639E1C7_.wvu.PrintArea" localSheetId="2" hidden="1">'ORÇA '!#REF!</definedName>
  </definedNames>
  <calcPr calcId="191029"/>
  <customWorkbookViews>
    <customWorkbookView name="joão - Modo de exibição pessoal" guid="{E8D46A29-8D28-49CA-936A-9705D639E1C7}" mergeInterval="0" personalView="1" maximized="1" xWindow="1" yWindow="1" windowWidth="1600" windowHeight="610" tabRatio="857" activeSheetId="3"/>
    <customWorkbookView name="ECP - Modo de exibição pessoal" guid="{0C989940-19FB-11D4-B636-00D0093DDF73}" mergeInterval="0" personalView="1" maximized="1" windowWidth="796" windowHeight="438" tabRatio="857" activeSheetId="3"/>
    <customWorkbookView name="&lt;: - Modo de exibição pessoal" guid="{AFF92C80-53BE-11D2-88E1-0040C72A12C5}" mergeInterval="0" personalView="1" maximized="1" windowWidth="796" windowHeight="400" tabRatio="857" activeSheetId="3"/>
    <customWorkbookView name="Máquina2 - Modo de exibição pessoal" guid="{F1F53240-5C6B-11D2-88BD-0040C72A12C5}" mergeInterval="0" personalView="1" maximized="1" windowWidth="796" windowHeight="411" tabRatio="857" activeSheetId="5"/>
    <customWorkbookView name="Máquina1 - Modo de exibição pessoal" guid="{EE864208-5880-11D2-88BD-0040C708D492}" mergeInterval="0" personalView="1" maximized="1" windowWidth="796" windowHeight="411" tabRatio="857" activeSheetId="4" showComments="commIndAndComment"/>
    <customWorkbookView name="PENTIUM - Modo de exibição pessoal" guid="{96D85DE4-FE1B-11D2-8AAF-0040C72A12C5}" mergeInterval="0" personalView="1" maximized="1" windowWidth="796" windowHeight="411" tabRatio="857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0" i="19" l="1"/>
  <c r="R10" i="19"/>
  <c r="S8" i="19"/>
  <c r="R8" i="19"/>
  <c r="C26" i="58" l="1"/>
  <c r="C31" i="58" s="1"/>
  <c r="F44" i="2" s="1"/>
  <c r="F45" i="4" s="1"/>
  <c r="E15" i="57"/>
  <c r="E14" i="57"/>
  <c r="E11" i="57"/>
  <c r="E10" i="57"/>
  <c r="E9" i="57"/>
  <c r="A7" i="57"/>
  <c r="C20" i="58"/>
  <c r="C17" i="58"/>
  <c r="H12" i="58"/>
  <c r="C12" i="58"/>
  <c r="C11" i="58" s="1"/>
  <c r="E11" i="58" s="1"/>
  <c r="C9" i="58"/>
  <c r="X8" i="19"/>
  <c r="X11" i="19" s="1"/>
  <c r="F50" i="2" s="1"/>
  <c r="F51" i="4" s="1"/>
  <c r="X10" i="19"/>
  <c r="W10" i="19"/>
  <c r="N10" i="19"/>
  <c r="N11" i="19" s="1"/>
  <c r="A52" i="4"/>
  <c r="B52" i="4"/>
  <c r="C52" i="4"/>
  <c r="D52" i="4"/>
  <c r="E52" i="4"/>
  <c r="F46" i="2"/>
  <c r="E6" i="57"/>
  <c r="E13" i="57" s="1"/>
  <c r="F45" i="2" s="1"/>
  <c r="F46" i="4" s="1"/>
  <c r="J12" i="58"/>
  <c r="A10" i="58"/>
  <c r="J11" i="58"/>
  <c r="A33" i="4"/>
  <c r="B33" i="4"/>
  <c r="C33" i="4"/>
  <c r="D33" i="4"/>
  <c r="E33" i="4"/>
  <c r="A34" i="4"/>
  <c r="B34" i="4"/>
  <c r="C34" i="4"/>
  <c r="D34" i="4"/>
  <c r="E34" i="4"/>
  <c r="A35" i="4"/>
  <c r="B35" i="4"/>
  <c r="C35" i="4"/>
  <c r="D35" i="4"/>
  <c r="E35" i="4"/>
  <c r="A36" i="4"/>
  <c r="B36" i="4"/>
  <c r="C36" i="4"/>
  <c r="D36" i="4"/>
  <c r="E36" i="4"/>
  <c r="A37" i="4"/>
  <c r="B37" i="4"/>
  <c r="C37" i="4"/>
  <c r="D37" i="4"/>
  <c r="E37" i="4"/>
  <c r="A38" i="4"/>
  <c r="B38" i="4"/>
  <c r="C38" i="4"/>
  <c r="D38" i="4"/>
  <c r="E38" i="4"/>
  <c r="A39" i="4"/>
  <c r="B39" i="4"/>
  <c r="C39" i="4"/>
  <c r="D39" i="4"/>
  <c r="E39" i="4"/>
  <c r="A40" i="4"/>
  <c r="B40" i="4"/>
  <c r="C40" i="4"/>
  <c r="D40" i="4"/>
  <c r="E40" i="4"/>
  <c r="A41" i="4"/>
  <c r="B41" i="4"/>
  <c r="C41" i="4"/>
  <c r="D41" i="4"/>
  <c r="E41" i="4"/>
  <c r="A51" i="4"/>
  <c r="B51" i="4"/>
  <c r="C51" i="4"/>
  <c r="D51" i="4"/>
  <c r="E51" i="4"/>
  <c r="O11" i="19"/>
  <c r="F23" i="2" s="1"/>
  <c r="F24" i="4" s="1"/>
  <c r="C31" i="8"/>
  <c r="D31" i="8" s="1"/>
  <c r="C30" i="8"/>
  <c r="D30" i="8" s="1"/>
  <c r="C19" i="8"/>
  <c r="J19" i="8" s="1"/>
  <c r="H17" i="8"/>
  <c r="I17" i="8" s="1"/>
  <c r="J17" i="8"/>
  <c r="J16" i="8"/>
  <c r="H16" i="8"/>
  <c r="I16" i="8" s="1"/>
  <c r="J15" i="8"/>
  <c r="H15" i="8"/>
  <c r="I15" i="8"/>
  <c r="J13" i="8"/>
  <c r="H13" i="8"/>
  <c r="I13" i="8" s="1"/>
  <c r="J12" i="8"/>
  <c r="H12" i="8"/>
  <c r="I12" i="8" s="1"/>
  <c r="M10" i="19"/>
  <c r="C35" i="8"/>
  <c r="H12" i="54"/>
  <c r="I12" i="54"/>
  <c r="H11" i="54"/>
  <c r="H8" i="19"/>
  <c r="H11" i="19" s="1"/>
  <c r="I23" i="3"/>
  <c r="B23" i="3"/>
  <c r="A23" i="3"/>
  <c r="I17" i="3"/>
  <c r="B17" i="3"/>
  <c r="A17" i="3"/>
  <c r="E8" i="57"/>
  <c r="C32" i="8"/>
  <c r="D32" i="8" s="1"/>
  <c r="J10" i="8"/>
  <c r="H10" i="8"/>
  <c r="I10" i="8" s="1"/>
  <c r="J11" i="8"/>
  <c r="H11" i="8"/>
  <c r="I11" i="8" s="1"/>
  <c r="H10" i="54"/>
  <c r="J10" i="54" s="1"/>
  <c r="H9" i="54"/>
  <c r="I9" i="54"/>
  <c r="J9" i="54" s="1"/>
  <c r="H8" i="54"/>
  <c r="H7" i="54"/>
  <c r="A2" i="54"/>
  <c r="A3" i="54"/>
  <c r="A2" i="33"/>
  <c r="A3" i="33"/>
  <c r="E10" i="33"/>
  <c r="E16" i="33"/>
  <c r="E25" i="33"/>
  <c r="D5" i="4" s="1"/>
  <c r="E19" i="33"/>
  <c r="A2" i="22"/>
  <c r="A3" i="22"/>
  <c r="E10" i="22"/>
  <c r="E16" i="22"/>
  <c r="E25" i="22"/>
  <c r="D4" i="4" s="1"/>
  <c r="E19" i="22"/>
  <c r="A7" i="58"/>
  <c r="A5" i="57" s="1"/>
  <c r="J8" i="58"/>
  <c r="F20" i="58" s="1"/>
  <c r="C25" i="58" s="1"/>
  <c r="A2" i="8"/>
  <c r="A6" i="8"/>
  <c r="A3" i="8"/>
  <c r="H8" i="8"/>
  <c r="I8" i="8"/>
  <c r="I24" i="8" s="1"/>
  <c r="J8" i="8"/>
  <c r="I21" i="8"/>
  <c r="D35" i="8" s="1"/>
  <c r="J21" i="8"/>
  <c r="I22" i="8"/>
  <c r="D36" i="8" s="1"/>
  <c r="J22" i="8"/>
  <c r="L22" i="8"/>
  <c r="I23" i="8"/>
  <c r="D37" i="8"/>
  <c r="J23" i="8"/>
  <c r="D26" i="8"/>
  <c r="D27" i="8"/>
  <c r="D28" i="8"/>
  <c r="C33" i="8"/>
  <c r="D33" i="8" s="1"/>
  <c r="C34" i="8"/>
  <c r="D34" i="8" s="1"/>
  <c r="C36" i="8"/>
  <c r="C37" i="8"/>
  <c r="A1" i="19"/>
  <c r="A2" i="19"/>
  <c r="A3" i="19"/>
  <c r="A4" i="31"/>
  <c r="O9" i="31"/>
  <c r="O12" i="31"/>
  <c r="O15" i="31"/>
  <c r="O18" i="31"/>
  <c r="O21" i="31"/>
  <c r="O24" i="31"/>
  <c r="O27" i="31"/>
  <c r="O28" i="31"/>
  <c r="A1" i="3"/>
  <c r="A2" i="3"/>
  <c r="A3" i="3"/>
  <c r="B3" i="3"/>
  <c r="A6" i="3"/>
  <c r="B6" i="3"/>
  <c r="A11" i="3"/>
  <c r="B11" i="3"/>
  <c r="A14" i="3"/>
  <c r="B14" i="3"/>
  <c r="A18" i="3"/>
  <c r="B18" i="3"/>
  <c r="I18" i="3"/>
  <c r="A24" i="3"/>
  <c r="B24" i="3"/>
  <c r="I24" i="3"/>
  <c r="A29" i="3"/>
  <c r="B29" i="3"/>
  <c r="A1" i="4"/>
  <c r="D2" i="4"/>
  <c r="J2" i="4"/>
  <c r="D3" i="4"/>
  <c r="J3" i="4"/>
  <c r="A6" i="4"/>
  <c r="B6" i="4"/>
  <c r="C6" i="4"/>
  <c r="D6" i="4"/>
  <c r="A7" i="4"/>
  <c r="B7" i="4"/>
  <c r="A9" i="5" s="1"/>
  <c r="A7" i="31" s="1"/>
  <c r="D7" i="4"/>
  <c r="A8" i="4"/>
  <c r="B8" i="4"/>
  <c r="C8" i="4"/>
  <c r="D8" i="4"/>
  <c r="E8" i="4"/>
  <c r="F8" i="4"/>
  <c r="A9" i="4"/>
  <c r="B9" i="4"/>
  <c r="C9" i="4"/>
  <c r="D9" i="4"/>
  <c r="E9" i="4"/>
  <c r="F9" i="4"/>
  <c r="A10" i="4"/>
  <c r="B10" i="4"/>
  <c r="C10" i="4"/>
  <c r="D10" i="4"/>
  <c r="E10" i="4"/>
  <c r="F10" i="4"/>
  <c r="A11" i="4"/>
  <c r="B11" i="4"/>
  <c r="C11" i="4"/>
  <c r="D11" i="4"/>
  <c r="E11" i="4"/>
  <c r="F11" i="4"/>
  <c r="A13" i="4"/>
  <c r="B13" i="4"/>
  <c r="A12" i="5" s="1"/>
  <c r="A10" i="31" s="1"/>
  <c r="D13" i="4"/>
  <c r="B12" i="5" s="1"/>
  <c r="B10" i="31" s="1"/>
  <c r="A14" i="4"/>
  <c r="B14" i="4"/>
  <c r="C14" i="4"/>
  <c r="D14" i="4"/>
  <c r="E14" i="4"/>
  <c r="F14" i="4"/>
  <c r="A16" i="4"/>
  <c r="B16" i="4"/>
  <c r="A15" i="5"/>
  <c r="A13" i="31" s="1"/>
  <c r="D16" i="4"/>
  <c r="A17" i="4"/>
  <c r="B17" i="4"/>
  <c r="C17" i="4"/>
  <c r="D17" i="4"/>
  <c r="E17" i="4"/>
  <c r="A18" i="4"/>
  <c r="B18" i="4"/>
  <c r="C18" i="4"/>
  <c r="D18" i="4"/>
  <c r="E18" i="4"/>
  <c r="A19" i="4"/>
  <c r="B19" i="4"/>
  <c r="C19" i="4"/>
  <c r="D19" i="4"/>
  <c r="E19" i="4"/>
  <c r="A20" i="4"/>
  <c r="B20" i="4"/>
  <c r="C20" i="4"/>
  <c r="D20" i="4"/>
  <c r="E20" i="4"/>
  <c r="A22" i="4"/>
  <c r="D22" i="4"/>
  <c r="B18" i="5"/>
  <c r="B16" i="31" s="1"/>
  <c r="A23" i="4"/>
  <c r="B23" i="4"/>
  <c r="C23" i="4"/>
  <c r="D23" i="4"/>
  <c r="E23" i="4"/>
  <c r="A24" i="4"/>
  <c r="B24" i="4"/>
  <c r="C24" i="4"/>
  <c r="D24" i="4"/>
  <c r="E24" i="4"/>
  <c r="A25" i="4"/>
  <c r="B25" i="4"/>
  <c r="C25" i="4"/>
  <c r="D25" i="4"/>
  <c r="E25" i="4"/>
  <c r="A26" i="4"/>
  <c r="B26" i="4"/>
  <c r="C26" i="4"/>
  <c r="D26" i="4"/>
  <c r="E26" i="4"/>
  <c r="A27" i="4"/>
  <c r="B27" i="4"/>
  <c r="C27" i="4"/>
  <c r="D27" i="4"/>
  <c r="E27" i="4"/>
  <c r="A28" i="4"/>
  <c r="B28" i="4"/>
  <c r="C28" i="4"/>
  <c r="D28" i="4"/>
  <c r="E28" i="4"/>
  <c r="A29" i="4"/>
  <c r="B29" i="4"/>
  <c r="C29" i="4"/>
  <c r="D29" i="4"/>
  <c r="E29" i="4"/>
  <c r="A31" i="4"/>
  <c r="B31" i="4"/>
  <c r="A21" i="5"/>
  <c r="A19" i="31"/>
  <c r="D31" i="4"/>
  <c r="A32" i="4"/>
  <c r="B32" i="4"/>
  <c r="C32" i="4"/>
  <c r="D32" i="4"/>
  <c r="E32" i="4"/>
  <c r="A43" i="4"/>
  <c r="B43" i="4"/>
  <c r="A24" i="5"/>
  <c r="A22" i="31" s="1"/>
  <c r="D43" i="4"/>
  <c r="B24" i="5" s="1"/>
  <c r="B22" i="31" s="1"/>
  <c r="A44" i="4"/>
  <c r="B44" i="4"/>
  <c r="C44" i="4"/>
  <c r="D44" i="4"/>
  <c r="E44" i="4"/>
  <c r="A45" i="4"/>
  <c r="B45" i="4"/>
  <c r="C45" i="4"/>
  <c r="D45" i="4"/>
  <c r="E45" i="4"/>
  <c r="A46" i="4"/>
  <c r="B46" i="4"/>
  <c r="C46" i="4"/>
  <c r="D46" i="4"/>
  <c r="E46" i="4"/>
  <c r="A47" i="4"/>
  <c r="B47" i="4"/>
  <c r="C47" i="4"/>
  <c r="D47" i="4"/>
  <c r="E47" i="4"/>
  <c r="A49" i="4"/>
  <c r="B49" i="4"/>
  <c r="A27" i="5" s="1"/>
  <c r="A25" i="31" s="1"/>
  <c r="D49" i="4"/>
  <c r="B27" i="5"/>
  <c r="B25" i="31"/>
  <c r="A50" i="4"/>
  <c r="B50" i="4"/>
  <c r="C50" i="4"/>
  <c r="D50" i="4"/>
  <c r="E50" i="4"/>
  <c r="B9" i="5"/>
  <c r="B7" i="31"/>
  <c r="B15" i="5"/>
  <c r="B13" i="31"/>
  <c r="A18" i="5"/>
  <c r="A16" i="31" s="1"/>
  <c r="B21" i="5"/>
  <c r="B19" i="31" s="1"/>
  <c r="A35" i="5"/>
  <c r="A36" i="5"/>
  <c r="A37" i="5"/>
  <c r="C29" i="8"/>
  <c r="D29" i="8" s="1"/>
  <c r="I10" i="54"/>
  <c r="I11" i="54"/>
  <c r="J11" i="54" s="1"/>
  <c r="I19" i="8"/>
  <c r="J12" i="54"/>
  <c r="U10" i="19"/>
  <c r="E12" i="58"/>
  <c r="I7" i="54"/>
  <c r="J7" i="54"/>
  <c r="P10" i="19"/>
  <c r="T10" i="19"/>
  <c r="V10" i="19" s="1"/>
  <c r="Q11" i="19"/>
  <c r="T8" i="19"/>
  <c r="T11" i="19" s="1"/>
  <c r="F24" i="2"/>
  <c r="F25" i="4" s="1"/>
  <c r="F51" i="2"/>
  <c r="F52" i="4"/>
  <c r="F47" i="4"/>
  <c r="E9" i="58"/>
  <c r="F17" i="58" s="1"/>
  <c r="C28" i="58" s="1"/>
  <c r="S11" i="19"/>
  <c r="W8" i="19"/>
  <c r="W11" i="19" s="1"/>
  <c r="F19" i="2" l="1"/>
  <c r="F20" i="4" s="1"/>
  <c r="F49" i="2"/>
  <c r="F50" i="4" s="1"/>
  <c r="F3" i="2"/>
  <c r="G4" i="4"/>
  <c r="F35" i="2"/>
  <c r="F36" i="4" s="1"/>
  <c r="J25" i="8"/>
  <c r="F18" i="2"/>
  <c r="F19" i="4" s="1"/>
  <c r="F34" i="2"/>
  <c r="H33" i="4"/>
  <c r="H10" i="4"/>
  <c r="I10" i="4" s="1"/>
  <c r="H16" i="19"/>
  <c r="I4" i="4"/>
  <c r="C33" i="5" s="1"/>
  <c r="F25" i="2"/>
  <c r="H39" i="4"/>
  <c r="H38" i="4"/>
  <c r="H44" i="4"/>
  <c r="H17" i="4"/>
  <c r="H34" i="4"/>
  <c r="H24" i="4"/>
  <c r="I24" i="4" s="1"/>
  <c r="H27" i="4"/>
  <c r="H46" i="4"/>
  <c r="I46" i="4" s="1"/>
  <c r="H47" i="4"/>
  <c r="I47" i="4" s="1"/>
  <c r="H18" i="4"/>
  <c r="H52" i="4"/>
  <c r="I52" i="4" s="1"/>
  <c r="H50" i="4"/>
  <c r="I50" i="4" s="1"/>
  <c r="J52" i="4" s="1"/>
  <c r="C27" i="5" s="1"/>
  <c r="E25" i="31" s="1"/>
  <c r="I25" i="31" s="1"/>
  <c r="H35" i="4"/>
  <c r="H20" i="4"/>
  <c r="I20" i="4" s="1"/>
  <c r="H25" i="4"/>
  <c r="I25" i="4" s="1"/>
  <c r="H8" i="4"/>
  <c r="I8" i="4" s="1"/>
  <c r="H29" i="4"/>
  <c r="H11" i="4"/>
  <c r="I11" i="4" s="1"/>
  <c r="H14" i="4"/>
  <c r="I14" i="4" s="1"/>
  <c r="J14" i="4" s="1"/>
  <c r="C12" i="5" s="1"/>
  <c r="E10" i="31" s="1"/>
  <c r="I10" i="31" s="1"/>
  <c r="H45" i="4"/>
  <c r="I45" i="4" s="1"/>
  <c r="H32" i="4"/>
  <c r="H51" i="4"/>
  <c r="I51" i="4" s="1"/>
  <c r="H28" i="4"/>
  <c r="H40" i="4"/>
  <c r="H9" i="4"/>
  <c r="I9" i="4" s="1"/>
  <c r="H41" i="4"/>
  <c r="H37" i="4"/>
  <c r="H36" i="4"/>
  <c r="I36" i="4" s="1"/>
  <c r="H26" i="4"/>
  <c r="H23" i="4"/>
  <c r="H19" i="4"/>
  <c r="U8" i="19"/>
  <c r="U11" i="19" s="1"/>
  <c r="F36" i="2" s="1"/>
  <c r="F37" i="4" s="1"/>
  <c r="I37" i="4" s="1"/>
  <c r="I8" i="54"/>
  <c r="J8" i="54" s="1"/>
  <c r="J15" i="54" s="1"/>
  <c r="J17" i="54" s="1"/>
  <c r="D39" i="8" s="1"/>
  <c r="R11" i="19"/>
  <c r="R14" i="19" s="1"/>
  <c r="R15" i="19" s="1"/>
  <c r="F32" i="2" s="1"/>
  <c r="F33" i="4" s="1"/>
  <c r="I33" i="4" s="1"/>
  <c r="M8" i="19"/>
  <c r="M11" i="19" s="1"/>
  <c r="F22" i="2" s="1"/>
  <c r="F23" i="4" s="1"/>
  <c r="V8" i="19"/>
  <c r="V11" i="19" s="1"/>
  <c r="F37" i="2" s="1"/>
  <c r="P8" i="19"/>
  <c r="P11" i="19" s="1"/>
  <c r="D44" i="8"/>
  <c r="C8" i="58"/>
  <c r="H9" i="58"/>
  <c r="I23" i="4" l="1"/>
  <c r="J11" i="4"/>
  <c r="C9" i="5" s="1"/>
  <c r="E7" i="31" s="1"/>
  <c r="F25" i="31"/>
  <c r="L25" i="31"/>
  <c r="F10" i="31"/>
  <c r="O10" i="31" s="1"/>
  <c r="P10" i="31" s="1"/>
  <c r="L10" i="31"/>
  <c r="C21" i="58"/>
  <c r="J9" i="58"/>
  <c r="F21" i="58" s="1"/>
  <c r="C24" i="58" s="1"/>
  <c r="D6" i="3"/>
  <c r="F26" i="4"/>
  <c r="I26" i="4" s="1"/>
  <c r="F28" i="2"/>
  <c r="F29" i="4" s="1"/>
  <c r="I19" i="4"/>
  <c r="C16" i="58"/>
  <c r="E8" i="58"/>
  <c r="F16" i="58" s="1"/>
  <c r="C27" i="58" s="1"/>
  <c r="C29" i="58" s="1"/>
  <c r="F43" i="2" s="1"/>
  <c r="F44" i="4" s="1"/>
  <c r="I44" i="4" s="1"/>
  <c r="J47" i="4" s="1"/>
  <c r="C24" i="5" s="1"/>
  <c r="E22" i="31" s="1"/>
  <c r="F16" i="2"/>
  <c r="F31" i="2"/>
  <c r="F32" i="4" s="1"/>
  <c r="I32" i="4"/>
  <c r="D29" i="3"/>
  <c r="H29" i="3" s="1"/>
  <c r="J29" i="3" s="1"/>
  <c r="J30" i="3" s="1"/>
  <c r="F40" i="2" s="1"/>
  <c r="F41" i="4" s="1"/>
  <c r="I41" i="4" s="1"/>
  <c r="F38" i="4"/>
  <c r="I38" i="4" s="1"/>
  <c r="F33" i="2"/>
  <c r="F17" i="2"/>
  <c r="F18" i="4" s="1"/>
  <c r="I18" i="4" s="1"/>
  <c r="I29" i="4"/>
  <c r="D24" i="3"/>
  <c r="H24" i="3" s="1"/>
  <c r="J24" i="3" s="1"/>
  <c r="D18" i="3"/>
  <c r="H18" i="3" s="1"/>
  <c r="J18" i="3" s="1"/>
  <c r="F35" i="4"/>
  <c r="I35" i="4" s="1"/>
  <c r="O25" i="31"/>
  <c r="P25" i="31" s="1"/>
  <c r="F7" i="31"/>
  <c r="I7" i="31"/>
  <c r="L7" i="31"/>
  <c r="I22" i="31" l="1"/>
  <c r="L22" i="31"/>
  <c r="F22" i="31"/>
  <c r="F17" i="4"/>
  <c r="H6" i="3"/>
  <c r="J6" i="3" s="1"/>
  <c r="J7" i="3" s="1"/>
  <c r="F26" i="2" s="1"/>
  <c r="F27" i="4" s="1"/>
  <c r="I27" i="4" s="1"/>
  <c r="D11" i="3"/>
  <c r="H11" i="3" s="1"/>
  <c r="J11" i="3" s="1"/>
  <c r="J12" i="3" s="1"/>
  <c r="F27" i="2" s="1"/>
  <c r="F28" i="4" s="1"/>
  <c r="I28" i="4" s="1"/>
  <c r="F34" i="4"/>
  <c r="I34" i="4" s="1"/>
  <c r="D23" i="3"/>
  <c r="H23" i="3" s="1"/>
  <c r="J23" i="3" s="1"/>
  <c r="J25" i="3" s="1"/>
  <c r="F39" i="2" s="1"/>
  <c r="F40" i="4" s="1"/>
  <c r="I40" i="4" s="1"/>
  <c r="D17" i="3"/>
  <c r="H17" i="3" s="1"/>
  <c r="J17" i="3" s="1"/>
  <c r="J19" i="3" s="1"/>
  <c r="F38" i="2" s="1"/>
  <c r="O7" i="31"/>
  <c r="P7" i="31" s="1"/>
  <c r="O22" i="31" l="1"/>
  <c r="P22" i="31" s="1"/>
  <c r="F39" i="4"/>
  <c r="I39" i="4" s="1"/>
  <c r="J41" i="4" s="1"/>
  <c r="C21" i="5" s="1"/>
  <c r="E19" i="31" s="1"/>
  <c r="F53" i="2"/>
  <c r="F57" i="4" s="1"/>
  <c r="F56" i="4"/>
  <c r="I17" i="4"/>
  <c r="J20" i="4" s="1"/>
  <c r="J29" i="4"/>
  <c r="C18" i="5" s="1"/>
  <c r="E16" i="31" s="1"/>
  <c r="F58" i="4" l="1"/>
  <c r="C15" i="5"/>
  <c r="J54" i="4"/>
  <c r="I19" i="31"/>
  <c r="L19" i="31"/>
  <c r="F19" i="31"/>
  <c r="L16" i="31"/>
  <c r="I16" i="31"/>
  <c r="F16" i="31"/>
  <c r="L14" i="4" l="1"/>
  <c r="J57" i="4"/>
  <c r="O19" i="31"/>
  <c r="P19" i="31" s="1"/>
  <c r="E13" i="31"/>
  <c r="C30" i="5"/>
  <c r="O16" i="31"/>
  <c r="E36" i="5" l="1"/>
  <c r="C34" i="5"/>
  <c r="L13" i="31"/>
  <c r="L30" i="31" s="1"/>
  <c r="F13" i="31"/>
  <c r="I13" i="31"/>
  <c r="I30" i="31" s="1"/>
  <c r="E29" i="31"/>
  <c r="P16" i="31"/>
  <c r="I29" i="31" l="1"/>
  <c r="L29" i="31"/>
  <c r="D19" i="31"/>
  <c r="D10" i="31"/>
  <c r="D16" i="31"/>
  <c r="D7" i="31"/>
  <c r="D26" i="31"/>
  <c r="D23" i="31"/>
  <c r="O13" i="31"/>
  <c r="F30" i="31"/>
  <c r="D13" i="31"/>
  <c r="D29" i="31" l="1"/>
  <c r="F31" i="31"/>
  <c r="I31" i="31" s="1"/>
  <c r="L31" i="31" s="1"/>
  <c r="O30" i="31"/>
  <c r="F29" i="31"/>
  <c r="O29" i="31" s="1"/>
  <c r="P13" i="31"/>
  <c r="P29" i="31"/>
  <c r="P31" i="31" l="1"/>
</calcChain>
</file>

<file path=xl/sharedStrings.xml><?xml version="1.0" encoding="utf-8"?>
<sst xmlns="http://schemas.openxmlformats.org/spreadsheetml/2006/main" count="682" uniqueCount="348">
  <si>
    <t>DISCRIMINAÇÃO</t>
  </si>
  <si>
    <t>UNIDADE</t>
  </si>
  <si>
    <t>QUANTIDADE</t>
  </si>
  <si>
    <t>TERRAPLENAGEM</t>
  </si>
  <si>
    <t>m³</t>
  </si>
  <si>
    <t>m²</t>
  </si>
  <si>
    <t>m</t>
  </si>
  <si>
    <t>unid</t>
  </si>
  <si>
    <t>x</t>
  </si>
  <si>
    <t>UNID.</t>
  </si>
  <si>
    <t>QUANT.</t>
  </si>
  <si>
    <t>P. UNIT.</t>
  </si>
  <si>
    <t>SUBTOTAL</t>
  </si>
  <si>
    <t>TOTAL</t>
  </si>
  <si>
    <t>CÓDIGO</t>
  </si>
  <si>
    <t>SERVIÇO</t>
  </si>
  <si>
    <t>MATERIAL</t>
  </si>
  <si>
    <t>UNID</t>
  </si>
  <si>
    <t>PESO(T) A TRANSPORTAR</t>
  </si>
  <si>
    <t>DMT(KM)</t>
  </si>
  <si>
    <t>MOMENTO DE TRANSPORTE(t.km)</t>
  </si>
  <si>
    <t>Solo</t>
  </si>
  <si>
    <t>t/m³</t>
  </si>
  <si>
    <t>II</t>
  </si>
  <si>
    <t>III</t>
  </si>
  <si>
    <t xml:space="preserve">ANEXO </t>
  </si>
  <si>
    <t>VALOR (R$)</t>
  </si>
  <si>
    <t>VI</t>
  </si>
  <si>
    <t>TOTAL  GERAL</t>
  </si>
  <si>
    <t>ITEM</t>
  </si>
  <si>
    <t>2.0</t>
  </si>
  <si>
    <t>3.0</t>
  </si>
  <si>
    <t>3.2</t>
  </si>
  <si>
    <t>4.0</t>
  </si>
  <si>
    <t>4.1</t>
  </si>
  <si>
    <t>ÁREA (m²)</t>
  </si>
  <si>
    <t>3.1</t>
  </si>
  <si>
    <t>2.1</t>
  </si>
  <si>
    <t>1.0</t>
  </si>
  <si>
    <t>1.1</t>
  </si>
  <si>
    <t>1.2</t>
  </si>
  <si>
    <t>Aluguel container/sanit c/2 vasos/1 lavat/1 mic/4 chuv larg2,20m compr=6,20m alt=2,50m chapa aco c/nerv trapez forro c/isolam termo/acustico chassis reforc piso compens naval inclinst eletr/hidr excl transp/carga/descarga</t>
  </si>
  <si>
    <t>mês</t>
  </si>
  <si>
    <t>3.3</t>
  </si>
  <si>
    <t>3.4</t>
  </si>
  <si>
    <t>txkm</t>
  </si>
  <si>
    <t>LOGRADOURO</t>
  </si>
  <si>
    <t>ESTACAS</t>
  </si>
  <si>
    <t>EXTENSÃO (m)</t>
  </si>
  <si>
    <t>INICIAL</t>
  </si>
  <si>
    <t>FINAL</t>
  </si>
  <si>
    <t>CORTE (m³)</t>
  </si>
  <si>
    <t>ATERRO (m³)</t>
  </si>
  <si>
    <t>+</t>
  </si>
  <si>
    <t xml:space="preserve"> RESUMO  DOS  PREÇOS</t>
  </si>
  <si>
    <t xml:space="preserve">SERVIÇOS                    </t>
  </si>
  <si>
    <t xml:space="preserve">ÁREA (m²): </t>
  </si>
  <si>
    <t>DATA BASE:</t>
  </si>
  <si>
    <t>Despesas Financeiras</t>
  </si>
  <si>
    <t>Riscos</t>
  </si>
  <si>
    <t>CPRB</t>
  </si>
  <si>
    <t>PERCENTUAL</t>
  </si>
  <si>
    <t>BDI</t>
  </si>
  <si>
    <t>CUSTO OBRA</t>
  </si>
  <si>
    <t>Outras Fontes</t>
  </si>
  <si>
    <t>VALOR DA OBRA</t>
  </si>
  <si>
    <t>( % )</t>
  </si>
  <si>
    <t>R$</t>
  </si>
  <si>
    <t>ADMINISTRAÇÃO DA OBRA</t>
  </si>
  <si>
    <t>Administração Central</t>
  </si>
  <si>
    <t>1.3</t>
  </si>
  <si>
    <t>LUCRO</t>
  </si>
  <si>
    <t>Lucro Operacional</t>
  </si>
  <si>
    <t>TRIBUTOS</t>
  </si>
  <si>
    <t>Não incidem IRPJ e CSLL na composição de Tributos.</t>
  </si>
  <si>
    <t xml:space="preserve">TAXA DE BDI A SER APLICADA 
SOBRE O CUSTO DIRETO </t>
  </si>
  <si>
    <t xml:space="preserve">De acordo com o ACÓRDÃO Nº 2622/2013 – TCU – Plenário </t>
  </si>
  <si>
    <t>PREFEITURA MUNICIPAL DE VÁRZEA GRANDE</t>
  </si>
  <si>
    <t xml:space="preserve">B.D.I. </t>
  </si>
  <si>
    <t>Limpeza mecanizada de área com remoção de camada vegetal, utilizando motoniveladora</t>
  </si>
  <si>
    <t>73822/002</t>
  </si>
  <si>
    <t>Regularização e compactação de subleito até 20 cm de espessura</t>
  </si>
  <si>
    <t>96387</t>
  </si>
  <si>
    <t>6.0</t>
  </si>
  <si>
    <t>6.1</t>
  </si>
  <si>
    <t>6.2</t>
  </si>
  <si>
    <t>VII</t>
  </si>
  <si>
    <t>Prazo ( dias consecutivos )</t>
  </si>
  <si>
    <t>Ítem</t>
  </si>
  <si>
    <t>Etapas de Serviço</t>
  </si>
  <si>
    <t>%</t>
  </si>
  <si>
    <t>Valor (R$)</t>
  </si>
  <si>
    <t>TOTAL ( % e R$ )</t>
  </si>
  <si>
    <t>DESEMBOLSO</t>
  </si>
  <si>
    <t xml:space="preserve"> SIMPLES</t>
  </si>
  <si>
    <t>ACUMULADO</t>
  </si>
  <si>
    <t>1.4</t>
  </si>
  <si>
    <t>Seguro e Garantia</t>
  </si>
  <si>
    <t>PIS</t>
  </si>
  <si>
    <t>COFINS</t>
  </si>
  <si>
    <t>ISSqn</t>
  </si>
  <si>
    <t>Formula para o calculo do BDI:</t>
  </si>
  <si>
    <t>ENSAIOS TECNOLÓGICOS DE SOLO E ASFALTO</t>
  </si>
  <si>
    <t>74021/003</t>
  </si>
  <si>
    <t>Ensaio de regularição de sub-leito</t>
  </si>
  <si>
    <t>74021/006</t>
  </si>
  <si>
    <t>74209/001</t>
  </si>
  <si>
    <t>Placa de obra em chapa de aço galvanizado</t>
  </si>
  <si>
    <t>7.0</t>
  </si>
  <si>
    <t>7.1</t>
  </si>
  <si>
    <t>ADMINISTRAÇÃO LOCAL</t>
  </si>
  <si>
    <t>Execução de depósito em canteiro de obra</t>
  </si>
  <si>
    <t>Confecção de placa em aço nº 16 galvanizado, com película retrorrefletiva tipo I + III</t>
  </si>
  <si>
    <t>CODIGO</t>
  </si>
  <si>
    <t>BANCO</t>
  </si>
  <si>
    <t>SINAPI</t>
  </si>
  <si>
    <t>SICRO 3</t>
  </si>
  <si>
    <t>B.D.I. DIFERENCIADO</t>
  </si>
  <si>
    <t>MEMÓRIA DE CÁLCULO DE VOLUMES DA DRENAGEM</t>
  </si>
  <si>
    <t>DIAMETRO (m)</t>
  </si>
  <si>
    <t xml:space="preserve">LARGURA </t>
  </si>
  <si>
    <t>CORTE</t>
  </si>
  <si>
    <t xml:space="preserve">CORTE </t>
  </si>
  <si>
    <t>ALTURA MEDIA</t>
  </si>
  <si>
    <t>VOLUME</t>
  </si>
  <si>
    <t>AREA FUNDO DE VALA</t>
  </si>
  <si>
    <t>MEDIA DE ESC</t>
  </si>
  <si>
    <t>MONTANTE</t>
  </si>
  <si>
    <t>JUZANTE</t>
  </si>
  <si>
    <t>DOS CORTES</t>
  </si>
  <si>
    <t>BOCAS DE LOBOS SIMPLES</t>
  </si>
  <si>
    <t>ESCAVAÇÃO</t>
  </si>
  <si>
    <t>ÁREA</t>
  </si>
  <si>
    <t>Poço de Visita</t>
  </si>
  <si>
    <t>TUBO 600MM</t>
  </si>
  <si>
    <t>TUBO 800MM</t>
  </si>
  <si>
    <t>TUBO 1000MM</t>
  </si>
  <si>
    <t>TUBO 1200MM</t>
  </si>
  <si>
    <t>BOCA DE LOBO DUPLA (UNIDADES)</t>
  </si>
  <si>
    <t>REGULARIZAÇÃO DE FUNDO DE VALA</t>
  </si>
  <si>
    <t>FORRO DE PEDRA DE MÃO</t>
  </si>
  <si>
    <t>BOTA-FORA ESCAVAÇÃO DE DRENO PROFUNDO</t>
  </si>
  <si>
    <t xml:space="preserve">DE CORTE </t>
  </si>
  <si>
    <t>ESCAVAÇÃO DE VALAS</t>
  </si>
  <si>
    <t>Transporte com caminhão basculante de 10 m3, em via urbana pavimentada, dmt até 30 km (unidade: tonxkm). af_12/2016</t>
  </si>
  <si>
    <t>Transporte com caminhão basculante de 10 m3, em via urbana em revestimento primário (unidade: tonxkm). af_04/2016</t>
  </si>
  <si>
    <t>EXTENSÃO:</t>
  </si>
  <si>
    <t>P. UNIT. C/BDI</t>
  </si>
  <si>
    <t>4.4</t>
  </si>
  <si>
    <t>Transporte com caminhão basculante de 10 m3, em via urbana pavimentada, dmt até 30 km (unidade: txkm). af_12/2016</t>
  </si>
  <si>
    <t>BOCA DE LOBO TRIPLA (UNIDADES)</t>
  </si>
  <si>
    <t>LASTRO DE BRITA</t>
  </si>
  <si>
    <t>4.2</t>
  </si>
  <si>
    <t>4.5</t>
  </si>
  <si>
    <t>PLANILHA ORÇAMENTÁRIA (NÃO DESONERADO)</t>
  </si>
  <si>
    <t>NÃO DESONERADO</t>
  </si>
  <si>
    <t>VIII</t>
  </si>
  <si>
    <t>COMP. DO LANCE</t>
  </si>
  <si>
    <t>TUBULAÇÃO</t>
  </si>
  <si>
    <t xml:space="preserve">TOTAL DE BOTA FORA </t>
  </si>
  <si>
    <t xml:space="preserve">REATERRO E COMPACTAÇÃO DE VALAS </t>
  </si>
  <si>
    <t>7.2</t>
  </si>
  <si>
    <t>BDI - BENEFICIOS E DESPESAS INDIRETAS - NÃO DESONERADO</t>
  </si>
  <si>
    <t>PAVIMENTAÇÃO DE VIAS URBANAS</t>
  </si>
  <si>
    <t>Ensaio de Sub-base estabilizada granulometricamente)</t>
  </si>
  <si>
    <t>Ensaio de base estabilizada granulometricamente</t>
  </si>
  <si>
    <t>74022/030</t>
  </si>
  <si>
    <t>un</t>
  </si>
  <si>
    <t>PAVIMENTAÇÃO</t>
  </si>
  <si>
    <t>Pintura de ligação com emulsão RR-2C</t>
  </si>
  <si>
    <t>SINALIZAÇÃO HORIZONTAL/VERTICAL</t>
  </si>
  <si>
    <t>Sinalizacao horizontal com tinta retrorrefletiva a base de resina acrilica  c/ micro esfera de vidro</t>
  </si>
  <si>
    <t>Pintura de setas e zebrados - tinta base acrílica - espessura de 0,6 mm</t>
  </si>
  <si>
    <t>Fornecimento e implantação de suporte metálico galvanizado para placa de regulamentação - R1 - lado de 0,248 m</t>
  </si>
  <si>
    <t>OBRAS COMPLEMENTARES</t>
  </si>
  <si>
    <t>TERRAPLENAGEM E PAVIMENTAÇÃO</t>
  </si>
  <si>
    <t>SUBLEITO (m²)</t>
  </si>
  <si>
    <t>SUB-BASE (m³)</t>
  </si>
  <si>
    <t>BASE (m³)</t>
  </si>
  <si>
    <t>IMPRIM. (m²)</t>
  </si>
  <si>
    <t>MEIO-FIO C/ SARJETA  (m)</t>
  </si>
  <si>
    <t>massa</t>
  </si>
  <si>
    <t>Caixa coletora de talvegue CCT01</t>
  </si>
  <si>
    <t>I</t>
  </si>
  <si>
    <t>SERVIÇOS PRELIMINARES</t>
  </si>
  <si>
    <t>7.3</t>
  </si>
  <si>
    <t>LARGURA   (m)</t>
  </si>
  <si>
    <t>ACOST. LE + (FOLGA)</t>
  </si>
  <si>
    <t>PISTA LD</t>
  </si>
  <si>
    <t>ACOST. LD + (FOLGA)</t>
  </si>
  <si>
    <t>PISTA LE</t>
  </si>
  <si>
    <t>LIMPEZA DE CAMADA VEGETAL (m²)</t>
  </si>
  <si>
    <t>PINTURA DE LIGAÇÃO. (m²)</t>
  </si>
  <si>
    <t>Reto</t>
  </si>
  <si>
    <t>Curvo</t>
  </si>
  <si>
    <t>TUBO 1500MM</t>
  </si>
  <si>
    <t>VOLUME DE BERÇO DE CASCALHO REATERRO</t>
  </si>
  <si>
    <t>DIÂMETRO</t>
  </si>
  <si>
    <t xml:space="preserve">L  </t>
  </si>
  <si>
    <t>e</t>
  </si>
  <si>
    <t>a</t>
  </si>
  <si>
    <t>b</t>
  </si>
  <si>
    <t xml:space="preserve"> Volume</t>
  </si>
  <si>
    <t>DIÂMETRO EXT.</t>
  </si>
  <si>
    <t>Espalhamento de material em bota fora, com utilização de trator de esteiras de 165 hp</t>
  </si>
  <si>
    <t>Ensaio de resistência a compressão simples do concreto - meio-fio, sarjetas e calçadas (considerado 1,0 amostra a cada 200 m)</t>
  </si>
  <si>
    <t/>
  </si>
  <si>
    <t>74205/001</t>
  </si>
  <si>
    <t>Transporte com caminhão basculante de 10 m3, em via urbana em revestimento primário (unidade: txkm). af_04/2016</t>
  </si>
  <si>
    <t>5.0</t>
  </si>
  <si>
    <t>5.1</t>
  </si>
  <si>
    <t>5.2</t>
  </si>
  <si>
    <t>5.4</t>
  </si>
  <si>
    <t>5.5</t>
  </si>
  <si>
    <t>5.6</t>
  </si>
  <si>
    <t>5.7</t>
  </si>
  <si>
    <t>5.8</t>
  </si>
  <si>
    <t>m³/m³</t>
  </si>
  <si>
    <t>4.3</t>
  </si>
  <si>
    <t>Tipo  de transporte 93595  - Transporte com caminhão basculante de 10 m3, em via urbana em revestimento primário (unidade: txkm). af_04/2016</t>
  </si>
  <si>
    <t>solo</t>
  </si>
  <si>
    <t>t/km</t>
  </si>
  <si>
    <t>Guia (meio-fio) e sarjeta conjugados de concreto, moldada i n loco em trecho
reto com extrusora, guia 13 cm base x 22 cm altura. af_06/2016</t>
  </si>
  <si>
    <t>Guia (meio-fio) e sarjeta conjugados de concreto, moldada i n loco em trecho
curvo com extrusora, guia 13 cm base x 22 cm altura. af_06/2016</t>
  </si>
  <si>
    <t>Placa esmaltada para identificação NR de Rua, dimensões 45X25cm</t>
  </si>
  <si>
    <t>V</t>
  </si>
  <si>
    <t>Caixa de ligação de passagem</t>
  </si>
  <si>
    <t>TOTAL/km (R$)</t>
  </si>
  <si>
    <t>km</t>
  </si>
  <si>
    <t>IV</t>
  </si>
  <si>
    <t>OBRA: PAVIMENTAÇÃO DE VIAS URBANAS</t>
  </si>
  <si>
    <t>6.3</t>
  </si>
  <si>
    <t>PREFEITURA MUNICIPAL DE VARZEA GRANDE</t>
  </si>
  <si>
    <t>OBS.</t>
  </si>
  <si>
    <t xml:space="preserve">Ø TUBO PEAD(mm) </t>
  </si>
  <si>
    <t xml:space="preserve">LE </t>
  </si>
  <si>
    <t>LD</t>
  </si>
  <si>
    <t>REFORÇO SUBLEITO (m³)</t>
  </si>
  <si>
    <t>5.3</t>
  </si>
  <si>
    <t>4.6</t>
  </si>
  <si>
    <t>OBRA: Pavimentação</t>
  </si>
  <si>
    <t>Compactação de aterros a 100% do Proctor intermediário</t>
  </si>
  <si>
    <t>4.7</t>
  </si>
  <si>
    <t>73847/001</t>
  </si>
  <si>
    <t>COMP. 2.1</t>
  </si>
  <si>
    <t>Composição</t>
  </si>
  <si>
    <t>Administração Local</t>
  </si>
  <si>
    <t xml:space="preserve">DATA BASE:  </t>
  </si>
  <si>
    <t>TOTAL TUBO DE DRENO PROFUNDO (m)</t>
  </si>
  <si>
    <t>F.UTILIZAÇÃO  FATOR</t>
  </si>
  <si>
    <t>Escavação, carga e transporte de material de 1ª categoria - DMT de 50 a 200 m - caminho de serviço em leito natural - com escavadira hidráulica</t>
  </si>
  <si>
    <t>Carga, manobra e descarga de solos e materiais granulares em caminhão basculante 10 m³ - carga com escavadeira hidráulica (caçamba de 1,20 m³ / 155 hp) e descarga livre (unidade: t). af_07/2020</t>
  </si>
  <si>
    <t>COMP. 4.1 (73822/002)</t>
  </si>
  <si>
    <t>COMP 1.1 (74209/001)</t>
  </si>
  <si>
    <t>COMP 1.3 (73847/001)</t>
  </si>
  <si>
    <t>COMP 2.1 (93565,94296,101389, 101456,101385,93572,93564)</t>
  </si>
  <si>
    <t>COMP 3.1 (74021/003)</t>
  </si>
  <si>
    <t>COMP 3.3 (74021/006)</t>
  </si>
  <si>
    <t>COMP 3.4 (74022/030)</t>
  </si>
  <si>
    <t>COMP. 4.7 (83344)</t>
  </si>
  <si>
    <t>COMP 3.2 (74021/006)</t>
  </si>
  <si>
    <t>SENTIDO</t>
  </si>
  <si>
    <t>FAIXA AMARELA</t>
  </si>
  <si>
    <t>FAIXA BRANCA</t>
  </si>
  <si>
    <t>COMPRIMENTO</t>
  </si>
  <si>
    <t>ESPESSURA</t>
  </si>
  <si>
    <t>Área</t>
  </si>
  <si>
    <t>TIPO DE PINTURA</t>
  </si>
  <si>
    <t>(m)</t>
  </si>
  <si>
    <t>(m²)</t>
  </si>
  <si>
    <t>Ambos (ida e volta)</t>
  </si>
  <si>
    <t>2X4</t>
  </si>
  <si>
    <t>Contínua</t>
  </si>
  <si>
    <t xml:space="preserve">RESUMO FAIXA AMARELA </t>
  </si>
  <si>
    <t>Descontínua</t>
  </si>
  <si>
    <t xml:space="preserve">TOTAL </t>
  </si>
  <si>
    <t>RESUMO FAIXA BRANCA</t>
  </si>
  <si>
    <t>RESUMO DA SINALIZAÇÃO</t>
  </si>
  <si>
    <t>FAIXA BRANCA CONTÍNUA</t>
  </si>
  <si>
    <t>FAIXA BRANCA SECCIONADA 2X4m</t>
  </si>
  <si>
    <t>FAIXA BRANCA RETENÇÃO 0,40x3,00m</t>
  </si>
  <si>
    <t>FAIXA AMARELA 2X4</t>
  </si>
  <si>
    <t>FAIXA AMARELA CONTÍNUA</t>
  </si>
  <si>
    <t>TOTAL DE PINTURA DE FAIXAS</t>
  </si>
  <si>
    <t>TACHAS E TACHÕES</t>
  </si>
  <si>
    <t xml:space="preserve">SETAS  E ZEBRADOS </t>
  </si>
  <si>
    <t>LOCAL - Dist.</t>
  </si>
  <si>
    <t>SINAL DE PLACA</t>
  </si>
  <si>
    <t>SUPORTE P/</t>
  </si>
  <si>
    <t>do bordo (Metros)</t>
  </si>
  <si>
    <t>TIPO</t>
  </si>
  <si>
    <t>DIMENSÕES</t>
  </si>
  <si>
    <t>ÁREAS(m²)</t>
  </si>
  <si>
    <t>PLACAS</t>
  </si>
  <si>
    <t>INDICATIVA</t>
  </si>
  <si>
    <t>Regulamentação</t>
  </si>
  <si>
    <t>R-01</t>
  </si>
  <si>
    <t>TOTAL (m²)</t>
  </si>
  <si>
    <t>Suporte p/ Placas</t>
  </si>
  <si>
    <t>TOTAL (un)</t>
  </si>
  <si>
    <t>Indicativa</t>
  </si>
  <si>
    <t>TUBO</t>
  </si>
  <si>
    <t>TUBO LIGAÇÃO E PASSAGEM</t>
  </si>
  <si>
    <t>BOCAS DE LOBO</t>
  </si>
  <si>
    <t>BOCAS DE LOBOS DUPLAS</t>
  </si>
  <si>
    <t>BOCAS DE LOBOS TRIPLAS</t>
  </si>
  <si>
    <t>TUBO 600MM (RAMAL)</t>
  </si>
  <si>
    <t>COTAÇÃO</t>
  </si>
  <si>
    <t>Indenização de jazida não condiz com o preço praticado na região (Preço praticado na jazida)</t>
  </si>
  <si>
    <t>M980</t>
  </si>
  <si>
    <t>PRÓPRIO</t>
  </si>
  <si>
    <t>Execução e compactação de sub-base com solo estabilizado granulometricamente - exclusive escavação, carga e transporte e solo. af_09/2017</t>
  </si>
  <si>
    <t>Execução e compactação de base com solo estabilizado granulometricamente - exclusive escavação, carga e transporte e solo. af_09/2017</t>
  </si>
  <si>
    <t>Construção de pavimento com aplicação de concreto betuminoso usinado a quente (cbuq), camada de rolamento, com espessura de 4,0 cm  exclusive transporte. af_03/2017</t>
  </si>
  <si>
    <t>5.9</t>
  </si>
  <si>
    <t>5.10</t>
  </si>
  <si>
    <t>Transporte com caminhão basculante 10 m3 de massa asfáltica para pavimentação urbana</t>
  </si>
  <si>
    <t>m³xkm</t>
  </si>
  <si>
    <t>6.4</t>
  </si>
  <si>
    <t>Tipo  de transporte 95303  -  Transporte  comercial c/basculante de massa asfáltica</t>
  </si>
  <si>
    <t>m³/km</t>
  </si>
  <si>
    <t>NOTA DE SERVIÇO DE DRENO PROFUNDO</t>
  </si>
  <si>
    <t>COMP. 6.1 (72947)</t>
  </si>
  <si>
    <t>COMP. 5.1 (72961)</t>
  </si>
  <si>
    <t>COT. 1 (M980)</t>
  </si>
  <si>
    <t>COMP. 5.4 (96387)</t>
  </si>
  <si>
    <t>CBUQ             (m³)</t>
  </si>
  <si>
    <t>Imprimação com emulsão asfáltica</t>
  </si>
  <si>
    <t>ESCAV.</t>
  </si>
  <si>
    <t>MODIFICAÇÃO FEITA POR ORIENTAÇÃO DA SINFRA/VG</t>
  </si>
  <si>
    <t>COMP. 5.3 (96387)</t>
  </si>
  <si>
    <t>COMP. 5.6 (72943)</t>
  </si>
  <si>
    <t>COMP. 5.7 (95993)</t>
  </si>
  <si>
    <t>COMP. 5.10 (95303)</t>
  </si>
  <si>
    <t>COMP. 7.5</t>
  </si>
  <si>
    <t>LIMPA RODA</t>
  </si>
  <si>
    <t>01/2023 SICRO 3</t>
  </si>
  <si>
    <t>BAIRRO: JARDIM ESMERALDA</t>
  </si>
  <si>
    <t>RUA SETE</t>
  </si>
  <si>
    <t>Esquina com a Rua do DNER estaca 0+0,000 (posicionar a 10 metros do bordo da pista transversal)</t>
  </si>
  <si>
    <t>Esquina com a Rua Sete estaca 3+11,20 (posicionar a 10 metros do bordo da pista transversal)</t>
  </si>
  <si>
    <t>Esquina com a Rua Sete estaca 6+12,73 (posicionar a 10 metros do bordo da pista transversal)</t>
  </si>
  <si>
    <t>Esquina com a Rua Setes estaca 10+2,13 (posicionar a 10 metros do bordo da pista transversal)</t>
  </si>
  <si>
    <t>Esquina com a Rua Setes estaca 13+9,27 (posicionar a 10 metros do bordo da pista transversal)</t>
  </si>
  <si>
    <t>NOTA  DE  SERVIÇO DE SINALIZAÇÃO VERTICAL - BAIRRO: JARDIM ESMERALDA</t>
  </si>
  <si>
    <r>
      <t>NOTA DE  SERVIÇO DE  SINALIZAÇÃO  HORIZONTAL</t>
    </r>
    <r>
      <rPr>
        <b/>
        <sz val="12"/>
        <color indexed="13"/>
        <rFont val="Times New Roman"/>
        <family val="1"/>
      </rPr>
      <t xml:space="preserve"> </t>
    </r>
    <r>
      <rPr>
        <b/>
        <sz val="12"/>
        <rFont val="Times New Roman"/>
        <family val="1"/>
      </rPr>
      <t>- BAIRRO: JARDIM ESMERALDA</t>
    </r>
  </si>
  <si>
    <t>RUA: SETE</t>
  </si>
  <si>
    <t>05/2023 SINAPI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</si>
</sst>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(&quot;R$ &quot;* #,##0.00_);_(&quot;R$ &quot;* \(#,##0.00\);_(&quot;R$ &quot;* &quot;-&quot;??_);_(@_)"/>
    <numFmt numFmtId="168" formatCode="_(&quot;R$&quot;* #,##0.00_);_(&quot;R$&quot;* \(#,##0.00\);_(&quot;R$&quot;* &quot;-&quot;??_);_(@_)"/>
    <numFmt numFmtId="169" formatCode="mmmm\-yy"/>
    <numFmt numFmtId="170" formatCode="#,##0.000"/>
    <numFmt numFmtId="171" formatCode="0.000"/>
    <numFmt numFmtId="172" formatCode="0.0000"/>
    <numFmt numFmtId="173" formatCode="_(* #,##0.000_);_(* \(#,##0.000\);_(* &quot;-&quot;??_);_(@_)"/>
    <numFmt numFmtId="174" formatCode="&quot;Cr$&quot;#,##0_);\(&quot;Cr$&quot;#,##0\)"/>
    <numFmt numFmtId="175" formatCode="0.0"/>
    <numFmt numFmtId="176" formatCode="_(* #,##0.0000_);_(* \(#,##0.0000\);_(* &quot;-&quot;??_);_(@_)"/>
    <numFmt numFmtId="177" formatCode="_(* #,##0.00_);_(* \(#,##0.00\);_(* \-??_);_(@_)"/>
    <numFmt numFmtId="178" formatCode="_([$€-2]* #,##0.00_);_([$€-2]* \(#,##0.00\);_([$€-2]* &quot;-&quot;??_)"/>
    <numFmt numFmtId="179" formatCode="0.0%"/>
    <numFmt numFmtId="180" formatCode="_-* #,##0.0000_-;\-* #,##0.0000_-;_-* &quot;-&quot;??_-;_-@_-"/>
    <numFmt numFmtId="181" formatCode="#,##0.00_ ;[Red]\-#,##0.00\ "/>
    <numFmt numFmtId="182" formatCode="#,##0.000;[Red]\-#,##0.000"/>
  </numFmts>
  <fonts count="86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color indexed="8"/>
      <name val="Arial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Helv"/>
      <charset val="204"/>
    </font>
    <font>
      <b/>
      <sz val="8"/>
      <name val="Times New Roman"/>
      <family val="1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34"/>
      <name val="Arial"/>
      <family val="2"/>
    </font>
    <font>
      <b/>
      <sz val="10"/>
      <color indexed="9"/>
      <name val="Arial"/>
      <family val="2"/>
    </font>
    <font>
      <sz val="10"/>
      <color indexed="34"/>
      <name val="Arial"/>
      <family val="2"/>
    </font>
    <font>
      <sz val="10"/>
      <color indexed="32"/>
      <name val="Arial"/>
      <family val="2"/>
    </font>
    <font>
      <u/>
      <sz val="9"/>
      <color indexed="12"/>
      <name val="Arial"/>
      <family val="2"/>
    </font>
    <font>
      <sz val="10"/>
      <color indexed="36"/>
      <name val="Arial"/>
      <family val="2"/>
    </font>
    <font>
      <sz val="10"/>
      <color indexed="37"/>
      <name val="Arial"/>
      <family val="2"/>
    </font>
    <font>
      <sz val="10"/>
      <name val="Times New Roman"/>
      <family val="1"/>
      <charset val="204"/>
    </font>
    <font>
      <b/>
      <sz val="10"/>
      <color indexed="22"/>
      <name val="Arial"/>
      <family val="2"/>
    </font>
    <font>
      <i/>
      <sz val="10"/>
      <color indexed="23"/>
      <name val="Arial"/>
      <family val="2"/>
    </font>
    <font>
      <b/>
      <sz val="15"/>
      <color indexed="32"/>
      <name val="Arial"/>
      <family val="2"/>
    </font>
    <font>
      <b/>
      <sz val="18"/>
      <color indexed="32"/>
      <name val="Cambria"/>
      <family val="1"/>
    </font>
    <font>
      <b/>
      <sz val="13"/>
      <color indexed="32"/>
      <name val="Arial"/>
      <family val="2"/>
    </font>
    <font>
      <b/>
      <sz val="11"/>
      <color indexed="32"/>
      <name val="Arial"/>
      <family val="2"/>
    </font>
    <font>
      <sz val="10"/>
      <name val="Arial"/>
      <family val="2"/>
      <charset val="1"/>
    </font>
    <font>
      <sz val="10"/>
      <name val="Arial"/>
      <family val="2"/>
      <charset val="204"/>
    </font>
    <font>
      <sz val="12"/>
      <color indexed="8"/>
      <name val="Calibri"/>
      <family val="2"/>
    </font>
    <font>
      <b/>
      <sz val="11"/>
      <name val="Times New Roman"/>
      <family val="1"/>
    </font>
    <font>
      <b/>
      <u/>
      <sz val="10"/>
      <color indexed="8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1"/>
      <name val="Times New Roman"/>
      <family val="1"/>
    </font>
    <font>
      <sz val="8"/>
      <name val="Arial"/>
      <family val="2"/>
    </font>
    <font>
      <sz val="11"/>
      <name val="Arial"/>
      <family val="1"/>
    </font>
    <font>
      <b/>
      <sz val="12"/>
      <color indexed="13"/>
      <name val="Times New Roman"/>
      <family val="1"/>
    </font>
    <font>
      <b/>
      <sz val="6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11"/>
      <color rgb="FF3F3F3F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000000"/>
      <name val="Times New Roman"/>
      <family val="1"/>
    </font>
    <font>
      <sz val="9"/>
      <color rgb="FF333333"/>
      <name val="Arial"/>
      <family val="2"/>
    </font>
    <font>
      <b/>
      <sz val="12"/>
      <name val="Calibri"/>
      <family val="2"/>
      <scheme val="minor"/>
    </font>
    <font>
      <b/>
      <u/>
      <sz val="12"/>
      <color rgb="FF000000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11"/>
        <bgColor indexed="11"/>
      </patternFill>
    </fill>
    <fill>
      <patternFill patternType="solid">
        <fgColor indexed="3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36"/>
        <bgColor indexed="3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10"/>
        <bgColor indexed="10"/>
      </patternFill>
    </fill>
    <fill>
      <patternFill patternType="solid">
        <fgColor indexed="50"/>
      </patternFill>
    </fill>
    <fill>
      <patternFill patternType="solid">
        <fgColor indexed="5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8D8D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0"/>
      </left>
      <right style="double">
        <color indexed="0"/>
      </right>
      <top style="double">
        <color indexed="0"/>
      </top>
      <bottom style="double">
        <color indexed="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34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3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32"/>
      </top>
      <bottom style="double">
        <color indexed="32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920">
    <xf numFmtId="0" fontId="0" fillId="0" borderId="0"/>
    <xf numFmtId="0" fontId="3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" fillId="2" borderId="0" applyNumberFormat="0" applyFont="0" applyFill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" fillId="2" borderId="0" applyNumberFormat="0" applyFont="0" applyFill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" fillId="3" borderId="0" applyNumberFormat="0" applyFont="0" applyFill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" fillId="3" borderId="0" applyNumberFormat="0" applyFont="0" applyFill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" fillId="4" borderId="0" applyNumberFormat="0" applyFont="0" applyFill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" fillId="4" borderId="0" applyNumberFormat="0" applyFont="0" applyFill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" fillId="2" borderId="0" applyNumberFormat="0" applyFont="0" applyFill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" fillId="2" borderId="0" applyNumberFormat="0" applyFont="0" applyFill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" fillId="4" borderId="0" applyNumberFormat="0" applyFont="0" applyFill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" fillId="4" borderId="0" applyNumberFormat="0" applyFont="0" applyFill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" fillId="3" borderId="0" applyNumberFormat="0" applyFont="0" applyFill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" fillId="3" borderId="0" applyNumberFormat="0" applyFont="0" applyFill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2" fillId="8" borderId="0" applyNumberFormat="0" applyBorder="0" applyAlignment="0" applyProtection="0"/>
    <xf numFmtId="0" fontId="12" fillId="6" borderId="0" applyNumberFormat="0" applyBorder="0" applyAlignment="0" applyProtection="0"/>
    <xf numFmtId="0" fontId="1" fillId="2" borderId="0" applyNumberFormat="0" applyFont="0" applyFill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6" borderId="0" applyNumberFormat="0" applyBorder="0" applyAlignment="0" applyProtection="0"/>
    <xf numFmtId="0" fontId="1" fillId="2" borderId="0" applyNumberFormat="0" applyFont="0" applyFill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" fillId="9" borderId="0" applyNumberFormat="0" applyFont="0" applyFill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" fillId="9" borderId="0" applyNumberFormat="0" applyFont="0" applyFill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13" borderId="0" applyNumberFormat="0" applyBorder="0" applyAlignment="0" applyProtection="0"/>
    <xf numFmtId="0" fontId="1" fillId="14" borderId="0" applyNumberFormat="0" applyFont="0" applyFill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3" borderId="0" applyNumberFormat="0" applyBorder="0" applyAlignment="0" applyProtection="0"/>
    <xf numFmtId="0" fontId="1" fillId="14" borderId="0" applyNumberFormat="0" applyFont="0" applyFill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" fillId="2" borderId="0" applyNumberFormat="0" applyFont="0" applyFill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" fillId="2" borderId="0" applyNumberFormat="0" applyFont="0" applyFill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6" borderId="0" applyNumberFormat="0" applyBorder="0" applyAlignment="0" applyProtection="0"/>
    <xf numFmtId="0" fontId="1" fillId="2" borderId="0" applyNumberFormat="0" applyFont="0" applyFill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6" borderId="0" applyNumberFormat="0" applyBorder="0" applyAlignment="0" applyProtection="0"/>
    <xf numFmtId="0" fontId="1" fillId="2" borderId="0" applyNumberFormat="0" applyFont="0" applyFill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2" fillId="10" borderId="0" applyNumberFormat="0" applyBorder="0" applyAlignment="0" applyProtection="0"/>
    <xf numFmtId="0" fontId="1" fillId="15" borderId="0" applyNumberFormat="0" applyFont="0" applyFill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0" borderId="0" applyNumberFormat="0" applyBorder="0" applyAlignment="0" applyProtection="0"/>
    <xf numFmtId="0" fontId="1" fillId="15" borderId="0" applyNumberFormat="0" applyFont="0" applyFill="0" applyProtection="0"/>
    <xf numFmtId="0" fontId="12" fillId="12" borderId="0" applyNumberFormat="0" applyBorder="0" applyAlignment="0" applyProtection="0"/>
    <xf numFmtId="0" fontId="13" fillId="16" borderId="0" applyNumberFormat="0" applyBorder="0" applyAlignment="0" applyProtection="0"/>
    <xf numFmtId="0" fontId="13" fillId="9" borderId="0" applyNumberFormat="0" applyBorder="0" applyAlignment="0" applyProtection="0"/>
    <xf numFmtId="0" fontId="13" fillId="11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40" fillId="16" borderId="0" applyNumberFormat="0" applyFont="0" applyFill="0" applyProtection="0"/>
    <xf numFmtId="0" fontId="40" fillId="16" borderId="0" applyNumberFormat="0" applyFont="0" applyFill="0" applyProtection="0"/>
    <xf numFmtId="0" fontId="13" fillId="6" borderId="0" applyNumberFormat="0" applyBorder="0" applyAlignment="0" applyProtection="0"/>
    <xf numFmtId="0" fontId="40" fillId="16" borderId="0" applyNumberFormat="0" applyFont="0" applyFill="0" applyProtection="0"/>
    <xf numFmtId="0" fontId="13" fillId="16" borderId="0" applyNumberFormat="0" applyBorder="0" applyAlignment="0" applyProtection="0"/>
    <xf numFmtId="0" fontId="40" fillId="16" borderId="0" applyNumberFormat="0" applyFont="0" applyFill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40" fillId="9" borderId="0" applyNumberFormat="0" applyFont="0" applyFill="0" applyProtection="0"/>
    <xf numFmtId="0" fontId="40" fillId="9" borderId="0" applyNumberFormat="0" applyFont="0" applyFill="0" applyProtection="0"/>
    <xf numFmtId="0" fontId="13" fillId="20" borderId="0" applyNumberFormat="0" applyBorder="0" applyAlignment="0" applyProtection="0"/>
    <xf numFmtId="0" fontId="40" fillId="9" borderId="0" applyNumberFormat="0" applyFont="0" applyFill="0" applyProtection="0"/>
    <xf numFmtId="0" fontId="13" fillId="9" borderId="0" applyNumberFormat="0" applyBorder="0" applyAlignment="0" applyProtection="0"/>
    <xf numFmtId="0" fontId="40" fillId="9" borderId="0" applyNumberFormat="0" applyFont="0" applyFill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40" fillId="14" borderId="0" applyNumberFormat="0" applyFont="0" applyFill="0" applyProtection="0"/>
    <xf numFmtId="0" fontId="40" fillId="14" borderId="0" applyNumberFormat="0" applyFont="0" applyFill="0" applyProtection="0"/>
    <xf numFmtId="0" fontId="13" fillId="12" borderId="0" applyNumberFormat="0" applyBorder="0" applyAlignment="0" applyProtection="0"/>
    <xf numFmtId="0" fontId="40" fillId="14" borderId="0" applyNumberFormat="0" applyFont="0" applyFill="0" applyProtection="0"/>
    <xf numFmtId="0" fontId="13" fillId="11" borderId="0" applyNumberFormat="0" applyBorder="0" applyAlignment="0" applyProtection="0"/>
    <xf numFmtId="0" fontId="40" fillId="14" borderId="0" applyNumberFormat="0" applyFont="0" applyFill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40" fillId="21" borderId="0" applyNumberFormat="0" applyFont="0" applyFill="0" applyProtection="0"/>
    <xf numFmtId="0" fontId="40" fillId="21" borderId="0" applyNumberFormat="0" applyFont="0" applyFill="0" applyProtection="0"/>
    <xf numFmtId="0" fontId="13" fillId="3" borderId="0" applyNumberFormat="0" applyBorder="0" applyAlignment="0" applyProtection="0"/>
    <xf numFmtId="0" fontId="40" fillId="21" borderId="0" applyNumberFormat="0" applyFont="0" applyFill="0" applyProtection="0"/>
    <xf numFmtId="0" fontId="13" fillId="17" borderId="0" applyNumberFormat="0" applyBorder="0" applyAlignment="0" applyProtection="0"/>
    <xf numFmtId="0" fontId="40" fillId="21" borderId="0" applyNumberFormat="0" applyFont="0" applyFill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40" fillId="18" borderId="0" applyNumberFormat="0" applyFont="0" applyFill="0" applyProtection="0"/>
    <xf numFmtId="0" fontId="40" fillId="18" borderId="0" applyNumberFormat="0" applyFont="0" applyFill="0" applyProtection="0"/>
    <xf numFmtId="0" fontId="13" fillId="6" borderId="0" applyNumberFormat="0" applyBorder="0" applyAlignment="0" applyProtection="0"/>
    <xf numFmtId="0" fontId="40" fillId="18" borderId="0" applyNumberFormat="0" applyFont="0" applyFill="0" applyProtection="0"/>
    <xf numFmtId="0" fontId="13" fillId="18" borderId="0" applyNumberFormat="0" applyBorder="0" applyAlignment="0" applyProtection="0"/>
    <xf numFmtId="0" fontId="40" fillId="18" borderId="0" applyNumberFormat="0" applyFont="0" applyFill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40" fillId="15" borderId="0" applyNumberFormat="0" applyFont="0" applyFill="0" applyProtection="0"/>
    <xf numFmtId="0" fontId="40" fillId="15" borderId="0" applyNumberFormat="0" applyFont="0" applyFill="0" applyProtection="0"/>
    <xf numFmtId="0" fontId="13" fillId="9" borderId="0" applyNumberFormat="0" applyBorder="0" applyAlignment="0" applyProtection="0"/>
    <xf numFmtId="0" fontId="40" fillId="15" borderId="0" applyNumberFormat="0" applyFont="0" applyFill="0" applyProtection="0"/>
    <xf numFmtId="0" fontId="13" fillId="19" borderId="0" applyNumberFormat="0" applyBorder="0" applyAlignment="0" applyProtection="0"/>
    <xf numFmtId="0" fontId="40" fillId="15" borderId="0" applyNumberFormat="0" applyFont="0" applyFill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20" borderId="0" applyNumberFormat="0" applyBorder="0" applyAlignment="0" applyProtection="0"/>
    <xf numFmtId="0" fontId="20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41" fillId="4" borderId="0" applyNumberFormat="0" applyFont="0" applyFill="0" applyProtection="0"/>
    <xf numFmtId="0" fontId="41" fillId="4" borderId="0" applyNumberFormat="0" applyFont="0" applyFill="0" applyProtection="0"/>
    <xf numFmtId="0" fontId="14" fillId="6" borderId="0" applyNumberFormat="0" applyBorder="0" applyAlignment="0" applyProtection="0"/>
    <xf numFmtId="0" fontId="41" fillId="4" borderId="0" applyNumberFormat="0" applyFont="0" applyFill="0" applyProtection="0"/>
    <xf numFmtId="0" fontId="14" fillId="4" borderId="0" applyNumberFormat="0" applyBorder="0" applyAlignment="0" applyProtection="0"/>
    <xf numFmtId="0" fontId="41" fillId="4" borderId="0" applyNumberFormat="0" applyFont="0" applyFill="0" applyProtection="0"/>
    <xf numFmtId="0" fontId="29" fillId="25" borderId="1" applyNumberFormat="0" applyAlignment="0" applyProtection="0"/>
    <xf numFmtId="0" fontId="29" fillId="25" borderId="1" applyNumberFormat="0" applyAlignment="0" applyProtection="0"/>
    <xf numFmtId="0" fontId="29" fillId="25" borderId="1" applyNumberFormat="0" applyAlignment="0" applyProtection="0"/>
    <xf numFmtId="0" fontId="42" fillId="27" borderId="1" applyNumberFormat="0" applyFont="0" applyProtection="0"/>
    <xf numFmtId="0" fontId="29" fillId="25" borderId="1" applyNumberFormat="0" applyAlignment="0" applyProtection="0"/>
    <xf numFmtId="0" fontId="15" fillId="26" borderId="1" applyNumberFormat="0" applyAlignment="0" applyProtection="0"/>
    <xf numFmtId="0" fontId="42" fillId="27" borderId="1" applyNumberFormat="0" applyFont="0" applyProtection="0"/>
    <xf numFmtId="0" fontId="29" fillId="25" borderId="1" applyNumberFormat="0" applyAlignment="0" applyProtection="0"/>
    <xf numFmtId="0" fontId="42" fillId="27" borderId="1" applyNumberFormat="0" applyFont="0" applyProtection="0"/>
    <xf numFmtId="0" fontId="1" fillId="0" borderId="0"/>
    <xf numFmtId="0" fontId="16" fillId="28" borderId="2" applyNumberFormat="0" applyAlignment="0" applyProtection="0"/>
    <xf numFmtId="0" fontId="16" fillId="28" borderId="2" applyNumberFormat="0" applyAlignment="0" applyProtection="0"/>
    <xf numFmtId="0" fontId="43" fillId="28" borderId="3" applyNumberFormat="0" applyFont="0" applyProtection="0"/>
    <xf numFmtId="0" fontId="16" fillId="28" borderId="2" applyNumberFormat="0" applyAlignment="0" applyProtection="0"/>
    <xf numFmtId="0" fontId="16" fillId="28" borderId="2" applyNumberFormat="0" applyAlignment="0" applyProtection="0"/>
    <xf numFmtId="0" fontId="43" fillId="28" borderId="3" applyNumberFormat="0" applyFont="0" applyProtection="0"/>
    <xf numFmtId="0" fontId="16" fillId="28" borderId="2" applyNumberFormat="0" applyAlignment="0" applyProtection="0"/>
    <xf numFmtId="0" fontId="43" fillId="28" borderId="3" applyNumberFormat="0" applyFo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44" fillId="0" borderId="5" applyNumberFormat="0" applyFont="0" applyAlignment="0" applyProtection="0"/>
    <xf numFmtId="0" fontId="30" fillId="0" borderId="4" applyNumberFormat="0" applyFill="0" applyAlignment="0" applyProtection="0"/>
    <xf numFmtId="0" fontId="17" fillId="0" borderId="6" applyNumberFormat="0" applyFill="0" applyAlignment="0" applyProtection="0"/>
    <xf numFmtId="0" fontId="44" fillId="0" borderId="5" applyNumberFormat="0" applyFont="0" applyAlignment="0" applyProtection="0"/>
    <xf numFmtId="0" fontId="30" fillId="0" borderId="4" applyNumberFormat="0" applyFill="0" applyAlignment="0" applyProtection="0"/>
    <xf numFmtId="0" fontId="44" fillId="0" borderId="5" applyNumberFormat="0" applyFont="0" applyAlignment="0" applyProtection="0"/>
    <xf numFmtId="3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40" fillId="22" borderId="0" applyNumberFormat="0" applyFont="0" applyFill="0" applyProtection="0"/>
    <xf numFmtId="0" fontId="40" fillId="22" borderId="0" applyNumberFormat="0" applyFont="0" applyFill="0" applyProtection="0"/>
    <xf numFmtId="0" fontId="13" fillId="29" borderId="0" applyNumberFormat="0" applyBorder="0" applyAlignment="0" applyProtection="0"/>
    <xf numFmtId="0" fontId="40" fillId="22" borderId="0" applyNumberFormat="0" applyFont="0" applyFill="0" applyProtection="0"/>
    <xf numFmtId="0" fontId="13" fillId="22" borderId="0" applyNumberFormat="0" applyBorder="0" applyAlignment="0" applyProtection="0"/>
    <xf numFmtId="0" fontId="40" fillId="22" borderId="0" applyNumberFormat="0" applyFont="0" applyFill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40" fillId="30" borderId="0" applyNumberFormat="0" applyFont="0" applyFill="0" applyProtection="0"/>
    <xf numFmtId="0" fontId="40" fillId="30" borderId="0" applyNumberFormat="0" applyFont="0" applyFill="0" applyProtection="0"/>
    <xf numFmtId="0" fontId="13" fillId="20" borderId="0" applyNumberFormat="0" applyBorder="0" applyAlignment="0" applyProtection="0"/>
    <xf numFmtId="0" fontId="40" fillId="30" borderId="0" applyNumberFormat="0" applyFont="0" applyFill="0" applyProtection="0"/>
    <xf numFmtId="0" fontId="13" fillId="23" borderId="0" applyNumberFormat="0" applyBorder="0" applyAlignment="0" applyProtection="0"/>
    <xf numFmtId="0" fontId="40" fillId="30" borderId="0" applyNumberFormat="0" applyFont="0" applyFill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40" fillId="31" borderId="0" applyNumberFormat="0" applyFont="0" applyFill="0" applyProtection="0"/>
    <xf numFmtId="0" fontId="40" fillId="31" borderId="0" applyNumberFormat="0" applyFont="0" applyFill="0" applyProtection="0"/>
    <xf numFmtId="0" fontId="13" fillId="12" borderId="0" applyNumberFormat="0" applyBorder="0" applyAlignment="0" applyProtection="0"/>
    <xf numFmtId="0" fontId="40" fillId="31" borderId="0" applyNumberFormat="0" applyFont="0" applyFill="0" applyProtection="0"/>
    <xf numFmtId="0" fontId="13" fillId="24" borderId="0" applyNumberFormat="0" applyBorder="0" applyAlignment="0" applyProtection="0"/>
    <xf numFmtId="0" fontId="40" fillId="31" borderId="0" applyNumberFormat="0" applyFont="0" applyFill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40" fillId="21" borderId="0" applyNumberFormat="0" applyFont="0" applyFill="0" applyProtection="0"/>
    <xf numFmtId="0" fontId="40" fillId="21" borderId="0" applyNumberFormat="0" applyFont="0" applyFill="0" applyProtection="0"/>
    <xf numFmtId="0" fontId="13" fillId="32" borderId="0" applyNumberFormat="0" applyBorder="0" applyAlignment="0" applyProtection="0"/>
    <xf numFmtId="0" fontId="40" fillId="21" borderId="0" applyNumberFormat="0" applyFont="0" applyFill="0" applyProtection="0"/>
    <xf numFmtId="0" fontId="13" fillId="17" borderId="0" applyNumberFormat="0" applyBorder="0" applyAlignment="0" applyProtection="0"/>
    <xf numFmtId="0" fontId="40" fillId="21" borderId="0" applyNumberFormat="0" applyFont="0" applyFill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40" fillId="18" borderId="0" applyNumberFormat="0" applyFont="0" applyFill="0" applyProtection="0"/>
    <xf numFmtId="0" fontId="40" fillId="18" borderId="0" applyNumberFormat="0" applyFont="0" applyFill="0" applyProtection="0"/>
    <xf numFmtId="0" fontId="13" fillId="18" borderId="0" applyNumberFormat="0" applyBorder="0" applyAlignment="0" applyProtection="0"/>
    <xf numFmtId="0" fontId="40" fillId="18" borderId="0" applyNumberFormat="0" applyFont="0" applyFill="0" applyProtection="0"/>
    <xf numFmtId="0" fontId="13" fillId="18" borderId="0" applyNumberFormat="0" applyBorder="0" applyAlignment="0" applyProtection="0"/>
    <xf numFmtId="0" fontId="40" fillId="18" borderId="0" applyNumberFormat="0" applyFont="0" applyFill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40" fillId="23" borderId="0" applyNumberFormat="0" applyFont="0" applyFill="0" applyProtection="0"/>
    <xf numFmtId="0" fontId="40" fillId="23" borderId="0" applyNumberFormat="0" applyFont="0" applyFill="0" applyProtection="0"/>
    <xf numFmtId="0" fontId="13" fillId="23" borderId="0" applyNumberFormat="0" applyBorder="0" applyAlignment="0" applyProtection="0"/>
    <xf numFmtId="0" fontId="40" fillId="23" borderId="0" applyNumberFormat="0" applyFont="0" applyFill="0" applyProtection="0"/>
    <xf numFmtId="0" fontId="13" fillId="20" borderId="0" applyNumberFormat="0" applyBorder="0" applyAlignment="0" applyProtection="0"/>
    <xf numFmtId="0" fontId="40" fillId="23" borderId="0" applyNumberFormat="0" applyFont="0" applyFill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45" fillId="3" borderId="1" applyNumberFormat="0" applyFont="0" applyProtection="0"/>
    <xf numFmtId="0" fontId="18" fillId="7" borderId="1" applyNumberFormat="0" applyAlignment="0" applyProtection="0"/>
    <xf numFmtId="0" fontId="18" fillId="13" borderId="1" applyNumberFormat="0" applyAlignment="0" applyProtection="0"/>
    <xf numFmtId="0" fontId="45" fillId="3" borderId="1" applyNumberFormat="0" applyFont="0" applyProtection="0"/>
    <xf numFmtId="0" fontId="18" fillId="7" borderId="1" applyNumberFormat="0" applyAlignment="0" applyProtection="0"/>
    <xf numFmtId="0" fontId="45" fillId="3" borderId="1" applyNumberFormat="0" applyFont="0" applyProtection="0"/>
    <xf numFmtId="0" fontId="37" fillId="0" borderId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58" fillId="0" borderId="0"/>
    <xf numFmtId="0" fontId="57" fillId="0" borderId="0"/>
    <xf numFmtId="0" fontId="56" fillId="0" borderId="0"/>
    <xf numFmtId="177" fontId="56" fillId="0" borderId="0" applyBorder="0" applyProtection="0"/>
    <xf numFmtId="0" fontId="23" fillId="0" borderId="0" applyNumberFormat="0" applyFill="0" applyBorder="0" applyAlignment="0" applyProtection="0"/>
    <xf numFmtId="0" fontId="34" fillId="0" borderId="7" applyNumberFormat="0" applyFill="0" applyAlignment="0" applyProtection="0"/>
    <xf numFmtId="0" fontId="35" fillId="0" borderId="8" applyNumberFormat="0" applyFill="0" applyAlignment="0" applyProtection="0"/>
    <xf numFmtId="0" fontId="36" fillId="0" borderId="9" applyNumberFormat="0" applyFill="0" applyAlignment="0" applyProtection="0"/>
    <xf numFmtId="0" fontId="36" fillId="0" borderId="0" applyNumberFormat="0" applyFill="0" applyBorder="0" applyAlignment="0" applyProtection="0"/>
    <xf numFmtId="0" fontId="6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47" fillId="3" borderId="0" applyNumberFormat="0" applyFont="0" applyFill="0" applyProtection="0"/>
    <xf numFmtId="0" fontId="47" fillId="3" borderId="0" applyNumberFormat="0" applyFont="0" applyFill="0" applyProtection="0"/>
    <xf numFmtId="0" fontId="20" fillId="5" borderId="0" applyNumberFormat="0" applyBorder="0" applyAlignment="0" applyProtection="0"/>
    <xf numFmtId="0" fontId="47" fillId="3" borderId="0" applyNumberFormat="0" applyFont="0" applyFill="0" applyProtection="0"/>
    <xf numFmtId="0" fontId="20" fillId="3" borderId="0" applyNumberFormat="0" applyBorder="0" applyAlignment="0" applyProtection="0"/>
    <xf numFmtId="0" fontId="47" fillId="3" borderId="0" applyNumberFormat="0" applyFont="0" applyFill="0" applyProtection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7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1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48" fillId="10" borderId="0" applyNumberFormat="0" applyFont="0" applyFill="0" applyProtection="0"/>
    <xf numFmtId="0" fontId="48" fillId="10" borderId="0" applyNumberFormat="0" applyFont="0" applyFill="0" applyProtection="0"/>
    <xf numFmtId="0" fontId="21" fillId="13" borderId="0" applyNumberFormat="0" applyBorder="0" applyAlignment="0" applyProtection="0"/>
    <xf numFmtId="0" fontId="48" fillId="10" borderId="0" applyNumberFormat="0" applyFont="0" applyFill="0" applyProtection="0"/>
    <xf numFmtId="0" fontId="32" fillId="13" borderId="0" applyNumberFormat="0" applyBorder="0" applyAlignment="0" applyProtection="0"/>
    <xf numFmtId="0" fontId="48" fillId="10" borderId="0" applyNumberFormat="0" applyFont="0" applyFill="0" applyProtection="0"/>
    <xf numFmtId="0" fontId="1" fillId="0" borderId="0"/>
    <xf numFmtId="0" fontId="1" fillId="0" borderId="0"/>
    <xf numFmtId="0" fontId="1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" fillId="0" borderId="0"/>
    <xf numFmtId="0" fontId="1" fillId="0" borderId="0"/>
    <xf numFmtId="0" fontId="1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" fillId="0" borderId="0"/>
    <xf numFmtId="0" fontId="1" fillId="0" borderId="0"/>
    <xf numFmtId="0" fontId="1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" fillId="0" borderId="0"/>
    <xf numFmtId="0" fontId="1" fillId="0" borderId="0"/>
    <xf numFmtId="0" fontId="1" fillId="0" borderId="0"/>
    <xf numFmtId="0" fontId="65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8" fillId="0" borderId="0"/>
    <xf numFmtId="0" fontId="68" fillId="0" borderId="0"/>
    <xf numFmtId="0" fontId="1" fillId="0" borderId="0"/>
    <xf numFmtId="0" fontId="1" fillId="0" borderId="0">
      <alignment horizontal="left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8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49" fillId="0" borderId="0" applyNumberFormat="0" applyFill="0" applyBorder="0" applyProtection="0">
      <alignment vertical="top" wrapText="1"/>
    </xf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7" fillId="0" borderId="0"/>
    <xf numFmtId="0" fontId="1" fillId="0" borderId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31" fillId="10" borderId="10" applyNumberFormat="0" applyFont="0" applyAlignment="0" applyProtection="0"/>
    <xf numFmtId="0" fontId="12" fillId="10" borderId="10" applyNumberFormat="0" applyFont="0" applyAlignment="0" applyProtection="0"/>
    <xf numFmtId="0" fontId="1" fillId="10" borderId="10" applyNumberFormat="0" applyFont="0" applyBorder="0" applyProtection="0"/>
    <xf numFmtId="0" fontId="31" fillId="10" borderId="10" applyNumberFormat="0" applyFont="0" applyAlignment="0" applyProtection="0"/>
    <xf numFmtId="0" fontId="31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" fillId="10" borderId="10" applyNumberFormat="0" applyFont="0" applyBorder="0" applyProtection="0"/>
    <xf numFmtId="0" fontId="31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22" fillId="25" borderId="11" applyNumberFormat="0" applyAlignment="0" applyProtection="0"/>
    <xf numFmtId="0" fontId="38" fillId="0" borderId="12" applyNumberFormat="0" applyFont="0" applyBorder="0" applyAlignment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0" fillId="26" borderId="79" applyNumberFormat="0" applyAlignment="0" applyProtection="0"/>
    <xf numFmtId="0" fontId="22" fillId="25" borderId="11" applyNumberFormat="0" applyAlignment="0" applyProtection="0"/>
    <xf numFmtId="0" fontId="22" fillId="25" borderId="11" applyNumberFormat="0" applyAlignment="0" applyProtection="0"/>
    <xf numFmtId="0" fontId="50" fillId="27" borderId="13" applyNumberFormat="0" applyFont="0" applyProtection="0"/>
    <xf numFmtId="0" fontId="22" fillId="25" borderId="11" applyNumberFormat="0" applyAlignment="0" applyProtection="0"/>
    <xf numFmtId="0" fontId="22" fillId="26" borderId="11" applyNumberFormat="0" applyAlignment="0" applyProtection="0"/>
    <xf numFmtId="0" fontId="50" fillId="27" borderId="13" applyNumberFormat="0" applyFont="0" applyProtection="0"/>
    <xf numFmtId="0" fontId="22" fillId="25" borderId="11" applyNumberFormat="0" applyAlignment="0" applyProtection="0"/>
    <xf numFmtId="0" fontId="50" fillId="27" borderId="13" applyNumberFormat="0" applyFo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7" fontId="1" fillId="0" borderId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9" fillId="0" borderId="0" applyNumberFormat="0" applyFont="0" applyFill="0" applyAlignment="0" applyProtection="0"/>
    <xf numFmtId="0" fontId="39" fillId="0" borderId="0" applyNumberFormat="0" applyFont="0" applyFill="0" applyAlignment="0" applyProtection="0"/>
    <xf numFmtId="0" fontId="17" fillId="0" borderId="0" applyNumberFormat="0" applyFill="0" applyBorder="0" applyAlignment="0" applyProtection="0"/>
    <xf numFmtId="0" fontId="39" fillId="0" borderId="0" applyNumberFormat="0" applyFont="0" applyFill="0" applyAlignment="0" applyProtection="0"/>
    <xf numFmtId="0" fontId="17" fillId="0" borderId="0" applyNumberFormat="0" applyFill="0" applyBorder="0" applyAlignment="0" applyProtection="0"/>
    <xf numFmtId="0" fontId="39" fillId="0" borderId="0" applyNumberFormat="0" applyFon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1" fillId="0" borderId="0" applyNumberFormat="0" applyFont="0" applyFill="0" applyAlignment="0" applyProtection="0"/>
    <xf numFmtId="0" fontId="51" fillId="0" borderId="0" applyNumberFormat="0" applyFont="0" applyFill="0" applyAlignment="0" applyProtection="0"/>
    <xf numFmtId="0" fontId="23" fillId="0" borderId="0" applyNumberFormat="0" applyFill="0" applyBorder="0" applyAlignment="0" applyProtection="0"/>
    <xf numFmtId="0" fontId="51" fillId="0" borderId="0" applyNumberFormat="0" applyFont="0" applyFill="0" applyAlignment="0" applyProtection="0"/>
    <xf numFmtId="0" fontId="23" fillId="0" borderId="0" applyNumberFormat="0" applyFill="0" applyBorder="0" applyAlignment="0" applyProtection="0"/>
    <xf numFmtId="0" fontId="51" fillId="0" borderId="0" applyNumberFormat="0" applyFont="0" applyFill="0" applyAlignment="0" applyProtection="0"/>
    <xf numFmtId="0" fontId="33" fillId="0" borderId="0" applyNumberFormat="0" applyFill="0" applyBorder="0" applyAlignment="0" applyProtection="0"/>
    <xf numFmtId="0" fontId="34" fillId="0" borderId="7" applyNumberFormat="0" applyFill="0" applyAlignment="0" applyProtection="0"/>
    <xf numFmtId="0" fontId="34" fillId="0" borderId="7" applyNumberFormat="0" applyFill="0" applyAlignment="0" applyProtection="0"/>
    <xf numFmtId="0" fontId="52" fillId="0" borderId="15" applyNumberFormat="0" applyFont="0" applyAlignment="0" applyProtection="0"/>
    <xf numFmtId="0" fontId="34" fillId="0" borderId="7" applyNumberFormat="0" applyFill="0" applyAlignment="0" applyProtection="0"/>
    <xf numFmtId="0" fontId="25" fillId="0" borderId="14" applyNumberFormat="0" applyFill="0" applyAlignment="0" applyProtection="0"/>
    <xf numFmtId="0" fontId="52" fillId="0" borderId="15" applyNumberFormat="0" applyFont="0" applyAlignment="0" applyProtection="0"/>
    <xf numFmtId="0" fontId="34" fillId="0" borderId="7" applyNumberFormat="0" applyFill="0" applyAlignment="0" applyProtection="0"/>
    <xf numFmtId="0" fontId="52" fillId="0" borderId="15" applyNumberFormat="0" applyFont="0" applyAlignment="0" applyProtection="0"/>
    <xf numFmtId="0" fontId="53" fillId="0" borderId="0" applyNumberFormat="0" applyFont="0" applyFill="0" applyAlignment="0" applyProtection="0"/>
    <xf numFmtId="0" fontId="35" fillId="0" borderId="8" applyNumberFormat="0" applyFill="0" applyAlignment="0" applyProtection="0"/>
    <xf numFmtId="0" fontId="35" fillId="0" borderId="8" applyNumberFormat="0" applyFill="0" applyAlignment="0" applyProtection="0"/>
    <xf numFmtId="0" fontId="54" fillId="0" borderId="8" applyNumberFormat="0" applyFont="0" applyAlignment="0" applyProtection="0"/>
    <xf numFmtId="0" fontId="35" fillId="0" borderId="8" applyNumberFormat="0" applyFill="0" applyAlignment="0" applyProtection="0"/>
    <xf numFmtId="0" fontId="26" fillId="0" borderId="16" applyNumberFormat="0" applyFill="0" applyAlignment="0" applyProtection="0"/>
    <xf numFmtId="0" fontId="54" fillId="0" borderId="8" applyNumberFormat="0" applyFont="0" applyAlignment="0" applyProtection="0"/>
    <xf numFmtId="0" fontId="35" fillId="0" borderId="8" applyNumberFormat="0" applyFill="0" applyAlignment="0" applyProtection="0"/>
    <xf numFmtId="0" fontId="54" fillId="0" borderId="8" applyNumberFormat="0" applyFont="0" applyAlignment="0" applyProtection="0"/>
    <xf numFmtId="0" fontId="36" fillId="0" borderId="9" applyNumberFormat="0" applyFill="0" applyAlignment="0" applyProtection="0"/>
    <xf numFmtId="0" fontId="36" fillId="0" borderId="9" applyNumberFormat="0" applyFill="0" applyAlignment="0" applyProtection="0"/>
    <xf numFmtId="0" fontId="55" fillId="0" borderId="15" applyNumberFormat="0" applyFont="0" applyAlignment="0" applyProtection="0"/>
    <xf numFmtId="0" fontId="36" fillId="0" borderId="9" applyNumberFormat="0" applyFill="0" applyAlignment="0" applyProtection="0"/>
    <xf numFmtId="0" fontId="27" fillId="0" borderId="17" applyNumberFormat="0" applyFill="0" applyAlignment="0" applyProtection="0"/>
    <xf numFmtId="0" fontId="55" fillId="0" borderId="15" applyNumberFormat="0" applyFont="0" applyAlignment="0" applyProtection="0"/>
    <xf numFmtId="0" fontId="36" fillId="0" borderId="9" applyNumberFormat="0" applyFill="0" applyAlignment="0" applyProtection="0"/>
    <xf numFmtId="0" fontId="55" fillId="0" borderId="15" applyNumberFormat="0" applyFon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55" fillId="0" borderId="0" applyNumberFormat="0" applyFont="0" applyFill="0" applyAlignment="0" applyProtection="0"/>
    <xf numFmtId="0" fontId="55" fillId="0" borderId="0" applyNumberFormat="0" applyFont="0" applyFill="0" applyAlignment="0" applyProtection="0"/>
    <xf numFmtId="0" fontId="27" fillId="0" borderId="0" applyNumberFormat="0" applyFill="0" applyBorder="0" applyAlignment="0" applyProtection="0"/>
    <xf numFmtId="0" fontId="55" fillId="0" borderId="0" applyNumberFormat="0" applyFont="0" applyFill="0" applyAlignment="0" applyProtection="0"/>
    <xf numFmtId="0" fontId="36" fillId="0" borderId="0" applyNumberFormat="0" applyFill="0" applyBorder="0" applyAlignment="0" applyProtection="0"/>
    <xf numFmtId="0" fontId="55" fillId="0" borderId="0" applyNumberFormat="0" applyFon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53" fillId="0" borderId="0" applyNumberFormat="0" applyFont="0" applyFill="0" applyAlignment="0" applyProtection="0"/>
    <xf numFmtId="0" fontId="53" fillId="0" borderId="0" applyNumberFormat="0" applyFont="0" applyFill="0" applyAlignment="0" applyProtection="0"/>
    <xf numFmtId="0" fontId="24" fillId="0" borderId="0" applyNumberFormat="0" applyFill="0" applyBorder="0" applyAlignment="0" applyProtection="0"/>
    <xf numFmtId="0" fontId="53" fillId="0" borderId="0" applyNumberFormat="0" applyFont="0" applyFill="0" applyAlignment="0" applyProtection="0"/>
    <xf numFmtId="0" fontId="33" fillId="0" borderId="0" applyNumberFormat="0" applyFill="0" applyBorder="0" applyAlignment="0" applyProtection="0"/>
    <xf numFmtId="0" fontId="53" fillId="0" borderId="0" applyNumberFormat="0" applyFon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6" fillId="0" borderId="20" applyNumberFormat="0" applyFont="0" applyAlignment="0" applyProtection="0"/>
    <xf numFmtId="0" fontId="28" fillId="0" borderId="19" applyNumberFormat="0" applyFill="0" applyAlignment="0" applyProtection="0"/>
    <xf numFmtId="0" fontId="28" fillId="0" borderId="18" applyNumberFormat="0" applyFill="0" applyAlignment="0" applyProtection="0"/>
    <xf numFmtId="0" fontId="6" fillId="0" borderId="20" applyNumberFormat="0" applyFont="0" applyAlignment="0" applyProtection="0"/>
    <xf numFmtId="0" fontId="28" fillId="0" borderId="19" applyNumberFormat="0" applyFill="0" applyAlignment="0" applyProtection="0"/>
    <xf numFmtId="0" fontId="6" fillId="0" borderId="20" applyNumberFormat="0" applyFont="0" applyAlignment="0" applyProtection="0"/>
    <xf numFmtId="0" fontId="28" fillId="0" borderId="19" applyNumberFormat="0" applyFill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</cellStyleXfs>
  <cellXfs count="779">
    <xf numFmtId="0" fontId="0" fillId="0" borderId="0" xfId="0"/>
    <xf numFmtId="0" fontId="1" fillId="0" borderId="0" xfId="0" applyNumberFormat="1" applyFont="1" applyAlignment="1"/>
    <xf numFmtId="4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/>
    <xf numFmtId="0" fontId="71" fillId="0" borderId="80" xfId="0" applyFont="1" applyBorder="1" applyAlignment="1">
      <alignment horizontal="center"/>
    </xf>
    <xf numFmtId="4" fontId="71" fillId="0" borderId="81" xfId="0" applyNumberFormat="1" applyFont="1" applyBorder="1" applyAlignment="1">
      <alignment horizontal="center"/>
    </xf>
    <xf numFmtId="4" fontId="72" fillId="0" borderId="81" xfId="0" applyNumberFormat="1" applyFont="1" applyBorder="1" applyAlignment="1">
      <alignment horizontal="center"/>
    </xf>
    <xf numFmtId="0" fontId="72" fillId="0" borderId="81" xfId="0" applyFont="1" applyBorder="1" applyAlignment="1">
      <alignment horizontal="center"/>
    </xf>
    <xf numFmtId="0" fontId="73" fillId="0" borderId="82" xfId="0" applyFont="1" applyBorder="1" applyAlignment="1">
      <alignment horizontal="center"/>
    </xf>
    <xf numFmtId="0" fontId="72" fillId="0" borderId="80" xfId="0" applyFont="1" applyBorder="1" applyAlignment="1">
      <alignment horizontal="center"/>
    </xf>
    <xf numFmtId="0" fontId="72" fillId="36" borderId="80" xfId="0" applyFont="1" applyFill="1" applyBorder="1" applyAlignment="1">
      <alignment horizontal="center"/>
    </xf>
    <xf numFmtId="4" fontId="72" fillId="36" borderId="81" xfId="0" applyNumberFormat="1" applyFont="1" applyFill="1" applyBorder="1" applyAlignment="1">
      <alignment horizontal="center"/>
    </xf>
    <xf numFmtId="4" fontId="71" fillId="36" borderId="81" xfId="0" applyNumberFormat="1" applyFont="1" applyFill="1" applyBorder="1" applyAlignment="1">
      <alignment horizontal="center"/>
    </xf>
    <xf numFmtId="0" fontId="72" fillId="36" borderId="81" xfId="0" applyFont="1" applyFill="1" applyBorder="1" applyAlignment="1">
      <alignment horizontal="center"/>
    </xf>
    <xf numFmtId="0" fontId="73" fillId="36" borderId="82" xfId="0" applyFont="1" applyFill="1" applyBorder="1" applyAlignment="1">
      <alignment horizontal="center"/>
    </xf>
    <xf numFmtId="0" fontId="74" fillId="36" borderId="80" xfId="0" applyFont="1" applyFill="1" applyBorder="1" applyAlignment="1">
      <alignment horizontal="center"/>
    </xf>
    <xf numFmtId="4" fontId="74" fillId="36" borderId="81" xfId="0" applyNumberFormat="1" applyFont="1" applyFill="1" applyBorder="1" applyAlignment="1">
      <alignment horizontal="center"/>
    </xf>
    <xf numFmtId="4" fontId="75" fillId="36" borderId="81" xfId="0" applyNumberFormat="1" applyFont="1" applyFill="1" applyBorder="1" applyAlignment="1">
      <alignment horizontal="center"/>
    </xf>
    <xf numFmtId="0" fontId="74" fillId="36" borderId="81" xfId="0" applyFont="1" applyFill="1" applyBorder="1" applyAlignment="1">
      <alignment horizontal="center"/>
    </xf>
    <xf numFmtId="0" fontId="76" fillId="36" borderId="82" xfId="0" applyFont="1" applyFill="1" applyBorder="1" applyAlignment="1">
      <alignment horizontal="center"/>
    </xf>
    <xf numFmtId="166" fontId="72" fillId="0" borderId="81" xfId="0" applyNumberFormat="1" applyFont="1" applyBorder="1" applyAlignment="1">
      <alignment horizontal="center"/>
    </xf>
    <xf numFmtId="4" fontId="72" fillId="0" borderId="81" xfId="0" applyNumberFormat="1" applyFont="1" applyBorder="1" applyAlignment="1">
      <alignment horizontal="right"/>
    </xf>
    <xf numFmtId="4" fontId="72" fillId="0" borderId="81" xfId="0" applyNumberFormat="1" applyFont="1" applyBorder="1" applyAlignment="1"/>
    <xf numFmtId="0" fontId="72" fillId="0" borderId="81" xfId="0" applyFont="1" applyBorder="1" applyAlignment="1"/>
    <xf numFmtId="0" fontId="72" fillId="0" borderId="82" xfId="0" applyFont="1" applyBorder="1" applyAlignment="1"/>
    <xf numFmtId="0" fontId="72" fillId="37" borderId="0" xfId="0" applyFont="1" applyFill="1" applyBorder="1" applyAlignment="1"/>
    <xf numFmtId="0" fontId="71" fillId="0" borderId="83" xfId="0" applyFont="1" applyBorder="1" applyAlignment="1">
      <alignment horizontal="center"/>
    </xf>
    <xf numFmtId="4" fontId="71" fillId="0" borderId="84" xfId="0" applyNumberFormat="1" applyFont="1" applyBorder="1" applyAlignment="1">
      <alignment horizontal="center"/>
    </xf>
    <xf numFmtId="4" fontId="72" fillId="0" borderId="84" xfId="0" applyNumberFormat="1" applyFont="1" applyBorder="1" applyAlignment="1">
      <alignment horizontal="center"/>
    </xf>
    <xf numFmtId="0" fontId="72" fillId="0" borderId="84" xfId="0" applyFont="1" applyBorder="1" applyAlignment="1">
      <alignment horizontal="center"/>
    </xf>
    <xf numFmtId="0" fontId="73" fillId="0" borderId="85" xfId="0" applyFont="1" applyBorder="1" applyAlignment="1">
      <alignment horizontal="center"/>
    </xf>
    <xf numFmtId="0" fontId="77" fillId="0" borderId="86" xfId="0" applyFont="1" applyBorder="1" applyAlignment="1">
      <alignment horizontal="center"/>
    </xf>
    <xf numFmtId="0" fontId="77" fillId="0" borderId="87" xfId="0" applyFont="1" applyBorder="1" applyAlignment="1"/>
    <xf numFmtId="0" fontId="77" fillId="0" borderId="88" xfId="0" applyFont="1" applyBorder="1" applyAlignment="1">
      <alignment horizontal="center"/>
    </xf>
    <xf numFmtId="0" fontId="77" fillId="0" borderId="89" xfId="0" applyFont="1" applyBorder="1" applyAlignment="1">
      <alignment horizontal="center"/>
    </xf>
    <xf numFmtId="0" fontId="0" fillId="37" borderId="21" xfId="0" applyFont="1" applyFill="1" applyBorder="1" applyAlignment="1"/>
    <xf numFmtId="0" fontId="0" fillId="37" borderId="22" xfId="0" applyFont="1" applyFill="1" applyBorder="1" applyAlignment="1"/>
    <xf numFmtId="4" fontId="72" fillId="38" borderId="81" xfId="0" applyNumberFormat="1" applyFont="1" applyFill="1" applyBorder="1" applyAlignment="1">
      <alignment horizontal="center"/>
    </xf>
    <xf numFmtId="0" fontId="6" fillId="0" borderId="23" xfId="0" applyFont="1" applyBorder="1" applyAlignment="1">
      <alignment horizontal="center" vertical="center"/>
    </xf>
    <xf numFmtId="166" fontId="7" fillId="0" borderId="23" xfId="0" applyNumberFormat="1" applyFont="1" applyBorder="1" applyAlignment="1">
      <alignment horizontal="center" vertical="center"/>
    </xf>
    <xf numFmtId="39" fontId="7" fillId="35" borderId="23" xfId="0" applyNumberFormat="1" applyFont="1" applyFill="1" applyBorder="1" applyAlignment="1">
      <alignment horizontal="center" vertical="center"/>
    </xf>
    <xf numFmtId="0" fontId="0" fillId="37" borderId="0" xfId="0" applyFont="1" applyFill="1" applyBorder="1" applyAlignment="1"/>
    <xf numFmtId="0" fontId="78" fillId="37" borderId="0" xfId="0" applyFont="1" applyFill="1" applyBorder="1" applyAlignment="1"/>
    <xf numFmtId="0" fontId="79" fillId="37" borderId="0" xfId="0" applyFont="1" applyFill="1" applyBorder="1" applyAlignment="1"/>
    <xf numFmtId="0" fontId="79" fillId="37" borderId="27" xfId="0" applyFont="1" applyFill="1" applyBorder="1" applyAlignment="1"/>
    <xf numFmtId="4" fontId="79" fillId="37" borderId="0" xfId="0" applyNumberFormat="1" applyFont="1" applyFill="1" applyBorder="1" applyAlignment="1"/>
    <xf numFmtId="0" fontId="80" fillId="37" borderId="27" xfId="0" applyFont="1" applyFill="1" applyBorder="1" applyAlignment="1"/>
    <xf numFmtId="40" fontId="79" fillId="37" borderId="0" xfId="0" applyNumberFormat="1" applyFont="1" applyFill="1" applyBorder="1" applyAlignment="1"/>
    <xf numFmtId="0" fontId="78" fillId="37" borderId="28" xfId="0" applyFont="1" applyFill="1" applyBorder="1" applyAlignment="1"/>
    <xf numFmtId="40" fontId="79" fillId="37" borderId="28" xfId="0" applyNumberFormat="1" applyFont="1" applyFill="1" applyBorder="1" applyAlignment="1"/>
    <xf numFmtId="0" fontId="79" fillId="37" borderId="28" xfId="0" applyFont="1" applyFill="1" applyBorder="1" applyAlignment="1"/>
    <xf numFmtId="0" fontId="79" fillId="37" borderId="29" xfId="0" applyFont="1" applyFill="1" applyBorder="1" applyAlignment="1"/>
    <xf numFmtId="0" fontId="0" fillId="37" borderId="30" xfId="0" applyFont="1" applyFill="1" applyBorder="1" applyAlignment="1"/>
    <xf numFmtId="0" fontId="72" fillId="37" borderId="31" xfId="0" applyFont="1" applyFill="1" applyBorder="1" applyAlignment="1"/>
    <xf numFmtId="0" fontId="0" fillId="37" borderId="31" xfId="0" applyFont="1" applyFill="1" applyBorder="1" applyAlignment="1"/>
    <xf numFmtId="0" fontId="78" fillId="37" borderId="31" xfId="0" applyFont="1" applyFill="1" applyBorder="1" applyAlignment="1"/>
    <xf numFmtId="0" fontId="79" fillId="37" borderId="31" xfId="0" applyFont="1" applyFill="1" applyBorder="1" applyAlignment="1"/>
    <xf numFmtId="0" fontId="79" fillId="37" borderId="32" xfId="0" applyFont="1" applyFill="1" applyBorder="1" applyAlignment="1"/>
    <xf numFmtId="0" fontId="81" fillId="37" borderId="0" xfId="0" applyFont="1" applyFill="1" applyBorder="1" applyAlignment="1">
      <alignment vertical="center" wrapText="1"/>
    </xf>
    <xf numFmtId="0" fontId="1" fillId="0" borderId="23" xfId="0" applyFont="1" applyBorder="1" applyAlignment="1">
      <alignment horizontal="center" vertical="center"/>
    </xf>
    <xf numFmtId="0" fontId="6" fillId="0" borderId="0" xfId="0" applyFont="1"/>
    <xf numFmtId="179" fontId="0" fillId="0" borderId="0" xfId="0" applyNumberFormat="1"/>
    <xf numFmtId="166" fontId="6" fillId="37" borderId="23" xfId="896" applyFont="1" applyFill="1" applyBorder="1" applyAlignment="1">
      <alignment vertical="center"/>
    </xf>
    <xf numFmtId="166" fontId="1" fillId="37" borderId="23" xfId="896" applyFont="1" applyFill="1" applyBorder="1" applyAlignment="1">
      <alignment horizontal="center" vertical="center"/>
    </xf>
    <xf numFmtId="0" fontId="82" fillId="0" borderId="0" xfId="0" applyFont="1" applyAlignment="1">
      <alignment horizontal="left" vertical="center"/>
    </xf>
    <xf numFmtId="0" fontId="7" fillId="0" borderId="23" xfId="0" applyFont="1" applyBorder="1" applyAlignment="1">
      <alignment horizontal="center" vertical="center"/>
    </xf>
    <xf numFmtId="0" fontId="1" fillId="37" borderId="23" xfId="547" applyFont="1" applyFill="1" applyBorder="1" applyAlignment="1">
      <alignment vertical="center"/>
    </xf>
    <xf numFmtId="166" fontId="1" fillId="37" borderId="23" xfId="896" applyNumberFormat="1" applyFont="1" applyFill="1" applyBorder="1" applyAlignment="1">
      <alignment horizontal="center" vertical="center"/>
    </xf>
    <xf numFmtId="166" fontId="1" fillId="37" borderId="23" xfId="896" applyFont="1" applyFill="1" applyBorder="1" applyAlignment="1">
      <alignment vertical="center"/>
    </xf>
    <xf numFmtId="166" fontId="1" fillId="37" borderId="23" xfId="896" applyNumberFormat="1" applyFont="1" applyFill="1" applyBorder="1" applyAlignment="1">
      <alignment horizontal="right" vertical="center"/>
    </xf>
    <xf numFmtId="166" fontId="1" fillId="37" borderId="23" xfId="896" applyFont="1" applyFill="1" applyBorder="1" applyAlignment="1">
      <alignment horizontal="right" vertical="center"/>
    </xf>
    <xf numFmtId="166" fontId="1" fillId="37" borderId="23" xfId="896" applyNumberFormat="1" applyFont="1" applyFill="1" applyBorder="1" applyAlignment="1">
      <alignment horizontal="left" vertical="center"/>
    </xf>
    <xf numFmtId="166" fontId="1" fillId="37" borderId="24" xfId="896" applyNumberFormat="1" applyFont="1" applyFill="1" applyBorder="1" applyAlignment="1">
      <alignment horizontal="center" vertical="center"/>
    </xf>
    <xf numFmtId="166" fontId="6" fillId="37" borderId="23" xfId="896" applyFont="1" applyFill="1" applyBorder="1" applyAlignment="1">
      <alignment horizontal="right" vertical="center"/>
    </xf>
    <xf numFmtId="0" fontId="1" fillId="37" borderId="23" xfId="547" applyFont="1" applyFill="1" applyBorder="1" applyAlignment="1">
      <alignment horizontal="left"/>
    </xf>
    <xf numFmtId="0" fontId="6" fillId="37" borderId="23" xfId="547" applyFont="1" applyFill="1" applyBorder="1" applyAlignment="1">
      <alignment horizontal="left"/>
    </xf>
    <xf numFmtId="0" fontId="6" fillId="37" borderId="23" xfId="547" applyFont="1" applyFill="1" applyBorder="1" applyAlignment="1">
      <alignment horizontal="left" vertical="center"/>
    </xf>
    <xf numFmtId="0" fontId="0" fillId="37" borderId="23" xfId="0" applyFill="1" applyBorder="1"/>
    <xf numFmtId="170" fontId="1" fillId="0" borderId="23" xfId="0" applyNumberFormat="1" applyFont="1" applyBorder="1" applyAlignment="1">
      <alignment vertical="center"/>
    </xf>
    <xf numFmtId="166" fontId="1" fillId="0" borderId="23" xfId="896" applyFont="1" applyBorder="1" applyAlignment="1">
      <alignment vertical="center"/>
    </xf>
    <xf numFmtId="0" fontId="11" fillId="0" borderId="23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 wrapText="1"/>
    </xf>
    <xf numFmtId="0" fontId="11" fillId="0" borderId="23" xfId="455" applyFont="1" applyFill="1" applyBorder="1" applyAlignment="1">
      <alignment horizontal="center" vertical="center"/>
    </xf>
    <xf numFmtId="0" fontId="11" fillId="0" borderId="23" xfId="455" applyFont="1" applyFill="1" applyBorder="1" applyAlignment="1">
      <alignment horizontal="left" vertical="center"/>
    </xf>
    <xf numFmtId="0" fontId="7" fillId="0" borderId="23" xfId="455" applyFont="1" applyFill="1" applyBorder="1" applyAlignment="1">
      <alignment horizontal="center" vertical="center"/>
    </xf>
    <xf numFmtId="0" fontId="7" fillId="0" borderId="23" xfId="455" applyFont="1" applyFill="1" applyBorder="1" applyAlignment="1">
      <alignment horizontal="left" vertical="center"/>
    </xf>
    <xf numFmtId="174" fontId="11" fillId="0" borderId="23" xfId="546" applyNumberFormat="1" applyFont="1" applyFill="1" applyBorder="1" applyAlignment="1" applyProtection="1">
      <alignment horizontal="left" vertical="center"/>
      <protection locked="0"/>
    </xf>
    <xf numFmtId="0" fontId="7" fillId="0" borderId="23" xfId="466" applyFont="1" applyFill="1" applyBorder="1" applyAlignment="1">
      <alignment horizontal="center" vertical="center"/>
    </xf>
    <xf numFmtId="174" fontId="7" fillId="0" borderId="23" xfId="546" applyNumberFormat="1" applyFont="1" applyFill="1" applyBorder="1" applyAlignment="1" applyProtection="1">
      <alignment horizontal="center" vertical="center"/>
      <protection locked="0"/>
    </xf>
    <xf numFmtId="0" fontId="7" fillId="0" borderId="23" xfId="455" applyFont="1" applyFill="1" applyBorder="1" applyAlignment="1">
      <alignment horizontal="left" vertical="center" wrapText="1"/>
    </xf>
    <xf numFmtId="0" fontId="1" fillId="37" borderId="33" xfId="0" applyNumberFormat="1" applyFont="1" applyFill="1" applyBorder="1" applyAlignment="1">
      <alignment horizontal="center"/>
    </xf>
    <xf numFmtId="0" fontId="1" fillId="37" borderId="33" xfId="0" applyNumberFormat="1" applyFont="1" applyFill="1" applyBorder="1" applyAlignment="1">
      <alignment horizontal="center" vertical="center"/>
    </xf>
    <xf numFmtId="0" fontId="8" fillId="37" borderId="34" xfId="0" applyNumberFormat="1" applyFont="1" applyFill="1" applyBorder="1" applyAlignment="1">
      <alignment horizontal="center" vertical="center"/>
    </xf>
    <xf numFmtId="0" fontId="8" fillId="37" borderId="24" xfId="0" applyNumberFormat="1" applyFont="1" applyFill="1" applyBorder="1" applyAlignment="1">
      <alignment horizontal="center" vertical="center"/>
    </xf>
    <xf numFmtId="0" fontId="8" fillId="37" borderId="33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horizontal="center"/>
    </xf>
    <xf numFmtId="0" fontId="72" fillId="0" borderId="90" xfId="0" applyFont="1" applyBorder="1"/>
    <xf numFmtId="0" fontId="72" fillId="0" borderId="91" xfId="0" applyFont="1" applyBorder="1"/>
    <xf numFmtId="1" fontId="72" fillId="0" borderId="92" xfId="0" applyNumberFormat="1" applyFont="1" applyBorder="1" applyAlignment="1">
      <alignment horizontal="left"/>
    </xf>
    <xf numFmtId="0" fontId="1" fillId="0" borderId="23" xfId="0" applyFont="1" applyBorder="1" applyAlignment="1">
      <alignment horizontal="left" vertical="center" wrapText="1"/>
    </xf>
    <xf numFmtId="4" fontId="1" fillId="37" borderId="23" xfId="896" applyNumberFormat="1" applyFont="1" applyFill="1" applyBorder="1" applyAlignment="1">
      <alignment horizontal="center" vertical="center"/>
    </xf>
    <xf numFmtId="4" fontId="8" fillId="37" borderId="35" xfId="0" applyNumberFormat="1" applyFont="1" applyFill="1" applyBorder="1" applyAlignment="1">
      <alignment horizontal="center" vertical="center"/>
    </xf>
    <xf numFmtId="0" fontId="1" fillId="37" borderId="23" xfId="896" applyNumberFormat="1" applyFont="1" applyFill="1" applyBorder="1" applyAlignment="1">
      <alignment vertical="center" wrapText="1"/>
    </xf>
    <xf numFmtId="2" fontId="7" fillId="37" borderId="37" xfId="0" applyNumberFormat="1" applyFont="1" applyFill="1" applyBorder="1" applyAlignment="1">
      <alignment horizontal="center" vertical="center"/>
    </xf>
    <xf numFmtId="2" fontId="7" fillId="37" borderId="38" xfId="0" applyNumberFormat="1" applyFont="1" applyFill="1" applyBorder="1" applyAlignment="1">
      <alignment horizontal="center" vertical="center"/>
    </xf>
    <xf numFmtId="173" fontId="1" fillId="37" borderId="23" xfId="896" applyNumberFormat="1" applyFont="1" applyFill="1" applyBorder="1" applyAlignment="1">
      <alignment horizontal="center" vertical="center"/>
    </xf>
    <xf numFmtId="2" fontId="0" fillId="0" borderId="0" xfId="0" applyNumberFormat="1"/>
    <xf numFmtId="171" fontId="0" fillId="0" borderId="0" xfId="0" applyNumberFormat="1"/>
    <xf numFmtId="172" fontId="0" fillId="0" borderId="0" xfId="0" applyNumberFormat="1"/>
    <xf numFmtId="170" fontId="0" fillId="0" borderId="0" xfId="0" applyNumberFormat="1" applyAlignment="1">
      <alignment horizontal="center"/>
    </xf>
    <xf numFmtId="0" fontId="1" fillId="37" borderId="39" xfId="546" applyFont="1" applyFill="1" applyBorder="1" applyAlignment="1"/>
    <xf numFmtId="0" fontId="1" fillId="37" borderId="40" xfId="546" applyFont="1" applyFill="1" applyBorder="1" applyAlignment="1"/>
    <xf numFmtId="0" fontId="1" fillId="37" borderId="23" xfId="0" applyFont="1" applyFill="1" applyBorder="1" applyAlignment="1">
      <alignment horizontal="center" vertical="center" wrapText="1"/>
    </xf>
    <xf numFmtId="0" fontId="1" fillId="37" borderId="25" xfId="0" applyFont="1" applyFill="1" applyBorder="1" applyAlignment="1">
      <alignment horizontal="center" vertical="center" wrapText="1"/>
    </xf>
    <xf numFmtId="0" fontId="1" fillId="37" borderId="23" xfId="0" applyFont="1" applyFill="1" applyBorder="1" applyAlignment="1">
      <alignment horizontal="left" vertical="center" wrapText="1"/>
    </xf>
    <xf numFmtId="166" fontId="1" fillId="0" borderId="23" xfId="896" applyFont="1" applyFill="1" applyBorder="1" applyAlignment="1">
      <alignment vertical="center"/>
    </xf>
    <xf numFmtId="166" fontId="1" fillId="0" borderId="23" xfId="896" applyFont="1" applyBorder="1" applyAlignment="1">
      <alignment horizontal="right" vertical="center"/>
    </xf>
    <xf numFmtId="166" fontId="1" fillId="0" borderId="23" xfId="896" applyFont="1" applyFill="1" applyBorder="1" applyAlignment="1">
      <alignment horizontal="center" vertical="center"/>
    </xf>
    <xf numFmtId="0" fontId="7" fillId="37" borderId="23" xfId="0" applyFont="1" applyFill="1" applyBorder="1" applyAlignment="1">
      <alignment horizontal="center" vertical="center"/>
    </xf>
    <xf numFmtId="0" fontId="2" fillId="37" borderId="0" xfId="0" applyFont="1" applyFill="1"/>
    <xf numFmtId="0" fontId="2" fillId="37" borderId="0" xfId="0" applyFont="1" applyFill="1" applyBorder="1"/>
    <xf numFmtId="0" fontId="11" fillId="37" borderId="23" xfId="0" applyFont="1" applyFill="1" applyBorder="1" applyAlignment="1">
      <alignment horizontal="center" vertical="center"/>
    </xf>
    <xf numFmtId="4" fontId="2" fillId="37" borderId="0" xfId="0" applyNumberFormat="1" applyFont="1" applyFill="1"/>
    <xf numFmtId="168" fontId="8" fillId="37" borderId="33" xfId="288" applyFont="1" applyFill="1" applyBorder="1" applyAlignment="1">
      <alignment horizontal="center" vertical="center"/>
    </xf>
    <xf numFmtId="0" fontId="1" fillId="37" borderId="26" xfId="547" applyFont="1" applyFill="1" applyBorder="1" applyAlignment="1">
      <alignment vertical="center"/>
    </xf>
    <xf numFmtId="0" fontId="0" fillId="37" borderId="0" xfId="0" applyFill="1"/>
    <xf numFmtId="0" fontId="6" fillId="37" borderId="23" xfId="0" applyFont="1" applyFill="1" applyBorder="1" applyAlignment="1">
      <alignment vertical="center"/>
    </xf>
    <xf numFmtId="0" fontId="2" fillId="37" borderId="23" xfId="0" applyFont="1" applyFill="1" applyBorder="1" applyAlignment="1">
      <alignment horizontal="center" vertical="center"/>
    </xf>
    <xf numFmtId="4" fontId="1" fillId="37" borderId="24" xfId="547" applyNumberFormat="1" applyFont="1" applyFill="1" applyBorder="1" applyAlignment="1">
      <alignment horizontal="right"/>
    </xf>
    <xf numFmtId="166" fontId="1" fillId="37" borderId="24" xfId="547" applyNumberFormat="1" applyFont="1" applyFill="1" applyBorder="1" applyAlignment="1">
      <alignment horizontal="center"/>
    </xf>
    <xf numFmtId="0" fontId="72" fillId="0" borderId="90" xfId="0" applyFont="1" applyBorder="1"/>
    <xf numFmtId="0" fontId="72" fillId="0" borderId="91" xfId="0" applyFont="1" applyBorder="1"/>
    <xf numFmtId="1" fontId="72" fillId="0" borderId="92" xfId="0" applyNumberFormat="1" applyFont="1" applyBorder="1" applyAlignment="1">
      <alignment horizontal="left"/>
    </xf>
    <xf numFmtId="0" fontId="7" fillId="0" borderId="0" xfId="0" applyFont="1" applyAlignment="1">
      <alignment wrapText="1"/>
    </xf>
    <xf numFmtId="0" fontId="11" fillId="37" borderId="23" xfId="0" applyFont="1" applyFill="1" applyBorder="1" applyAlignment="1">
      <alignment horizontal="left" vertical="center"/>
    </xf>
    <xf numFmtId="0" fontId="7" fillId="37" borderId="23" xfId="455" applyFont="1" applyFill="1" applyBorder="1" applyAlignment="1">
      <alignment horizontal="center" vertical="center"/>
    </xf>
    <xf numFmtId="0" fontId="7" fillId="37" borderId="23" xfId="455" applyFont="1" applyFill="1" applyBorder="1" applyAlignment="1">
      <alignment horizontal="left" vertical="center" wrapText="1"/>
    </xf>
    <xf numFmtId="0" fontId="4" fillId="37" borderId="0" xfId="0" applyFont="1" applyFill="1"/>
    <xf numFmtId="10" fontId="6" fillId="37" borderId="23" xfId="0" applyNumberFormat="1" applyFont="1" applyFill="1" applyBorder="1" applyAlignment="1">
      <alignment horizontal="center" vertical="center" wrapText="1"/>
    </xf>
    <xf numFmtId="0" fontId="11" fillId="37" borderId="23" xfId="0" applyFont="1" applyFill="1" applyBorder="1" applyAlignment="1">
      <alignment horizontal="center" vertical="center" wrapText="1"/>
    </xf>
    <xf numFmtId="0" fontId="2" fillId="37" borderId="0" xfId="0" applyFont="1" applyFill="1" applyBorder="1" applyAlignment="1">
      <alignment vertical="center"/>
    </xf>
    <xf numFmtId="0" fontId="7" fillId="37" borderId="23" xfId="0" applyFont="1" applyFill="1" applyBorder="1" applyAlignment="1">
      <alignment horizontal="left" vertical="center"/>
    </xf>
    <xf numFmtId="0" fontId="1" fillId="37" borderId="23" xfId="0" applyFont="1" applyFill="1" applyBorder="1" applyAlignment="1">
      <alignment vertical="center" wrapText="1"/>
    </xf>
    <xf numFmtId="0" fontId="2" fillId="37" borderId="0" xfId="0" applyFont="1" applyFill="1" applyAlignment="1">
      <alignment horizontal="center" vertical="center"/>
    </xf>
    <xf numFmtId="0" fontId="2" fillId="37" borderId="0" xfId="0" applyFont="1" applyFill="1" applyAlignment="1">
      <alignment horizontal="center"/>
    </xf>
    <xf numFmtId="170" fontId="2" fillId="37" borderId="0" xfId="0" applyNumberFormat="1" applyFont="1" applyFill="1"/>
    <xf numFmtId="174" fontId="11" fillId="0" borderId="23" xfId="546" applyNumberFormat="1" applyFont="1" applyFill="1" applyBorder="1" applyAlignment="1" applyProtection="1">
      <alignment horizontal="center" vertical="center"/>
      <protection locked="0"/>
    </xf>
    <xf numFmtId="0" fontId="1" fillId="0" borderId="23" xfId="455" applyFont="1" applyFill="1" applyBorder="1" applyAlignment="1">
      <alignment horizontal="center" vertical="center"/>
    </xf>
    <xf numFmtId="0" fontId="1" fillId="0" borderId="23" xfId="455" applyFont="1" applyFill="1" applyBorder="1" applyAlignment="1">
      <alignment horizontal="left" vertical="center" wrapText="1"/>
    </xf>
    <xf numFmtId="0" fontId="1" fillId="0" borderId="23" xfId="455" applyFont="1" applyFill="1" applyBorder="1" applyAlignment="1">
      <alignment horizontal="left" vertical="center"/>
    </xf>
    <xf numFmtId="0" fontId="7" fillId="0" borderId="23" xfId="0" applyFont="1" applyBorder="1" applyAlignment="1">
      <alignment vertical="center"/>
    </xf>
    <xf numFmtId="0" fontId="7" fillId="0" borderId="23" xfId="455" applyFont="1" applyBorder="1" applyAlignment="1">
      <alignment horizontal="center" vertical="center"/>
    </xf>
    <xf numFmtId="0" fontId="8" fillId="37" borderId="41" xfId="0" applyNumberFormat="1" applyFont="1" applyFill="1" applyBorder="1" applyAlignment="1">
      <alignment horizontal="left" vertical="center"/>
    </xf>
    <xf numFmtId="0" fontId="8" fillId="37" borderId="42" xfId="0" applyNumberFormat="1" applyFont="1" applyFill="1" applyBorder="1" applyAlignment="1">
      <alignment horizontal="left" vertical="center"/>
    </xf>
    <xf numFmtId="0" fontId="7" fillId="37" borderId="23" xfId="0" applyFont="1" applyFill="1" applyBorder="1" applyAlignment="1">
      <alignment horizontal="left" vertical="center" wrapText="1"/>
    </xf>
    <xf numFmtId="0" fontId="69" fillId="37" borderId="23" xfId="277" applyFont="1" applyFill="1" applyBorder="1" applyAlignment="1" applyProtection="1">
      <alignment vertical="center" wrapText="1"/>
    </xf>
    <xf numFmtId="0" fontId="6" fillId="37" borderId="33" xfId="0" applyNumberFormat="1" applyFont="1" applyFill="1" applyBorder="1" applyAlignment="1">
      <alignment horizontal="center" vertical="center"/>
    </xf>
    <xf numFmtId="0" fontId="6" fillId="37" borderId="43" xfId="0" applyFont="1" applyFill="1" applyBorder="1" applyAlignment="1">
      <alignment vertical="center"/>
    </xf>
    <xf numFmtId="3" fontId="1" fillId="37" borderId="23" xfId="0" applyNumberFormat="1" applyFont="1" applyFill="1" applyBorder="1" applyAlignment="1">
      <alignment horizontal="center" vertical="center"/>
    </xf>
    <xf numFmtId="170" fontId="1" fillId="37" borderId="23" xfId="0" applyNumberFormat="1" applyFont="1" applyFill="1" applyBorder="1" applyAlignment="1">
      <alignment horizontal="center" vertical="center"/>
    </xf>
    <xf numFmtId="171" fontId="1" fillId="37" borderId="23" xfId="691" applyNumberFormat="1" applyFont="1" applyFill="1" applyBorder="1" applyAlignment="1">
      <alignment horizontal="center" vertical="center"/>
    </xf>
    <xf numFmtId="4" fontId="1" fillId="37" borderId="23" xfId="0" applyNumberFormat="1" applyFont="1" applyFill="1" applyBorder="1" applyAlignment="1">
      <alignment horizontal="right" vertical="center"/>
    </xf>
    <xf numFmtId="43" fontId="0" fillId="37" borderId="0" xfId="0" applyNumberFormat="1" applyFill="1"/>
    <xf numFmtId="10" fontId="2" fillId="37" borderId="0" xfId="0" applyNumberFormat="1" applyFont="1" applyFill="1"/>
    <xf numFmtId="0" fontId="6" fillId="37" borderId="23" xfId="0" applyFont="1" applyFill="1" applyBorder="1" applyAlignment="1">
      <alignment horizontal="left" vertical="center" wrapText="1"/>
    </xf>
    <xf numFmtId="3" fontId="7" fillId="37" borderId="37" xfId="0" applyNumberFormat="1" applyFont="1" applyFill="1" applyBorder="1" applyAlignment="1">
      <alignment horizontal="center" vertical="center" wrapText="1"/>
    </xf>
    <xf numFmtId="3" fontId="7" fillId="37" borderId="37" xfId="0" quotePrefix="1" applyNumberFormat="1" applyFont="1" applyFill="1" applyBorder="1" applyAlignment="1">
      <alignment horizontal="center" vertical="center" wrapText="1"/>
    </xf>
    <xf numFmtId="170" fontId="7" fillId="37" borderId="37" xfId="0" applyNumberFormat="1" applyFont="1" applyFill="1" applyBorder="1" applyAlignment="1">
      <alignment horizontal="center" vertical="center" wrapText="1"/>
    </xf>
    <xf numFmtId="2" fontId="7" fillId="37" borderId="44" xfId="0" applyNumberFormat="1" applyFont="1" applyFill="1" applyBorder="1" applyAlignment="1">
      <alignment horizontal="center" vertical="center" wrapText="1"/>
    </xf>
    <xf numFmtId="1" fontId="7" fillId="37" borderId="44" xfId="0" applyNumberFormat="1" applyFont="1" applyFill="1" applyBorder="1" applyAlignment="1">
      <alignment horizontal="center" wrapText="1"/>
    </xf>
    <xf numFmtId="4" fontId="7" fillId="37" borderId="37" xfId="0" applyNumberFormat="1" applyFont="1" applyFill="1" applyBorder="1" applyAlignment="1">
      <alignment horizontal="left" wrapText="1"/>
    </xf>
    <xf numFmtId="2" fontId="1" fillId="37" borderId="23" xfId="0" applyNumberFormat="1" applyFont="1" applyFill="1" applyBorder="1" applyAlignment="1"/>
    <xf numFmtId="4" fontId="6" fillId="37" borderId="24" xfId="896" applyNumberFormat="1" applyFont="1" applyFill="1" applyBorder="1" applyAlignment="1">
      <alignment vertical="center"/>
    </xf>
    <xf numFmtId="2" fontId="7" fillId="0" borderId="23" xfId="0" applyNumberFormat="1" applyFont="1" applyFill="1" applyBorder="1" applyAlignment="1">
      <alignment horizontal="center" vertical="center" wrapText="1"/>
    </xf>
    <xf numFmtId="2" fontId="7" fillId="0" borderId="24" xfId="0" applyNumberFormat="1" applyFont="1" applyFill="1" applyBorder="1" applyAlignment="1">
      <alignment horizontal="center" vertical="center" wrapText="1"/>
    </xf>
    <xf numFmtId="1" fontId="7" fillId="0" borderId="24" xfId="0" applyNumberFormat="1" applyFont="1" applyFill="1" applyBorder="1" applyAlignment="1">
      <alignment horizontal="center" vertical="center" wrapText="1"/>
    </xf>
    <xf numFmtId="2" fontId="63" fillId="0" borderId="23" xfId="691" applyNumberFormat="1" applyFont="1" applyFill="1" applyBorder="1" applyAlignment="1">
      <alignment horizontal="right" vertical="center"/>
    </xf>
    <xf numFmtId="1" fontId="63" fillId="0" borderId="23" xfId="691" applyNumberFormat="1" applyFont="1" applyFill="1" applyBorder="1" applyAlignment="1">
      <alignment horizontal="center" vertical="center"/>
    </xf>
    <xf numFmtId="166" fontId="1" fillId="0" borderId="24" xfId="896" applyNumberFormat="1" applyFont="1" applyFill="1" applyBorder="1" applyAlignment="1">
      <alignment horizontal="center" vertical="center"/>
    </xf>
    <xf numFmtId="166" fontId="1" fillId="0" borderId="24" xfId="896" applyFont="1" applyFill="1" applyBorder="1" applyAlignment="1">
      <alignment horizontal="right"/>
    </xf>
    <xf numFmtId="166" fontId="1" fillId="0" borderId="24" xfId="547" applyNumberFormat="1" applyFont="1" applyFill="1" applyBorder="1" applyAlignment="1">
      <alignment horizontal="right"/>
    </xf>
    <xf numFmtId="0" fontId="7" fillId="0" borderId="23" xfId="0" applyFont="1" applyFill="1" applyBorder="1" applyAlignment="1">
      <alignment horizontal="center" vertical="center"/>
    </xf>
    <xf numFmtId="0" fontId="1" fillId="0" borderId="23" xfId="0" applyFont="1" applyBorder="1" applyAlignment="1">
      <alignment vertical="center" wrapText="1"/>
    </xf>
    <xf numFmtId="0" fontId="1" fillId="37" borderId="25" xfId="0" applyFont="1" applyFill="1" applyBorder="1" applyAlignment="1" applyProtection="1">
      <alignment vertical="center"/>
    </xf>
    <xf numFmtId="0" fontId="1" fillId="37" borderId="26" xfId="0" applyFont="1" applyFill="1" applyBorder="1" applyAlignment="1" applyProtection="1">
      <alignment vertical="center"/>
    </xf>
    <xf numFmtId="0" fontId="1" fillId="37" borderId="23" xfId="0" applyFont="1" applyFill="1" applyBorder="1" applyAlignment="1">
      <alignment vertical="center"/>
    </xf>
    <xf numFmtId="0" fontId="1" fillId="37" borderId="23" xfId="0" applyFont="1" applyFill="1" applyBorder="1" applyAlignment="1">
      <alignment horizontal="center" vertical="center"/>
    </xf>
    <xf numFmtId="170" fontId="1" fillId="37" borderId="23" xfId="0" applyNumberFormat="1" applyFont="1" applyFill="1" applyBorder="1" applyAlignment="1">
      <alignment horizontal="center" vertical="center" wrapText="1"/>
    </xf>
    <xf numFmtId="170" fontId="1" fillId="37" borderId="25" xfId="0" applyNumberFormat="1" applyFont="1" applyFill="1" applyBorder="1" applyAlignment="1">
      <alignment horizontal="center" vertical="center" wrapText="1"/>
    </xf>
    <xf numFmtId="0" fontId="1" fillId="37" borderId="25" xfId="0" applyFont="1" applyFill="1" applyBorder="1" applyAlignment="1">
      <alignment horizontal="center" vertical="center"/>
    </xf>
    <xf numFmtId="166" fontId="1" fillId="37" borderId="26" xfId="896" applyFont="1" applyFill="1" applyBorder="1" applyAlignment="1">
      <alignment horizontal="center" vertical="center"/>
    </xf>
    <xf numFmtId="0" fontId="6" fillId="0" borderId="23" xfId="0" applyFont="1" applyBorder="1" applyAlignment="1">
      <alignment horizontal="left" vertical="center"/>
    </xf>
    <xf numFmtId="0" fontId="1" fillId="0" borderId="23" xfId="0" applyFont="1" applyBorder="1" applyAlignment="1">
      <alignment vertical="center"/>
    </xf>
    <xf numFmtId="0" fontId="6" fillId="0" borderId="23" xfId="0" applyFont="1" applyBorder="1" applyAlignment="1" applyProtection="1">
      <alignment vertical="center"/>
    </xf>
    <xf numFmtId="166" fontId="7" fillId="37" borderId="23" xfId="896" applyFont="1" applyFill="1" applyBorder="1" applyAlignment="1">
      <alignment horizontal="center" vertical="center"/>
    </xf>
    <xf numFmtId="166" fontId="7" fillId="0" borderId="23" xfId="896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 vertical="center"/>
    </xf>
    <xf numFmtId="3" fontId="1" fillId="0" borderId="23" xfId="0" quotePrefix="1" applyNumberFormat="1" applyFont="1" applyFill="1" applyBorder="1" applyAlignment="1">
      <alignment horizontal="center" vertical="center"/>
    </xf>
    <xf numFmtId="170" fontId="1" fillId="0" borderId="23" xfId="0" applyNumberFormat="1" applyFont="1" applyFill="1" applyBorder="1" applyAlignment="1">
      <alignment horizontal="center" vertical="center"/>
    </xf>
    <xf numFmtId="171" fontId="1" fillId="0" borderId="23" xfId="691" applyNumberFormat="1" applyFont="1" applyFill="1" applyBorder="1" applyAlignment="1">
      <alignment horizontal="center" vertical="center"/>
    </xf>
    <xf numFmtId="4" fontId="1" fillId="0" borderId="23" xfId="0" applyNumberFormat="1" applyFont="1" applyFill="1" applyBorder="1" applyAlignment="1">
      <alignment horizontal="right" vertical="center"/>
    </xf>
    <xf numFmtId="0" fontId="6" fillId="37" borderId="45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3" fontId="6" fillId="37" borderId="23" xfId="0" applyNumberFormat="1" applyFont="1" applyFill="1" applyBorder="1" applyAlignment="1">
      <alignment horizontal="left" vertical="center"/>
    </xf>
    <xf numFmtId="0" fontId="8" fillId="0" borderId="46" xfId="0" applyFont="1" applyBorder="1" applyAlignment="1">
      <alignment horizontal="center" vertical="center"/>
    </xf>
    <xf numFmtId="0" fontId="8" fillId="0" borderId="47" xfId="0" applyFont="1" applyBorder="1" applyAlignment="1">
      <alignment horizontal="left" vertical="center"/>
    </xf>
    <xf numFmtId="0" fontId="8" fillId="0" borderId="48" xfId="0" applyFont="1" applyBorder="1" applyAlignment="1">
      <alignment horizontal="left" vertical="center"/>
    </xf>
    <xf numFmtId="166" fontId="1" fillId="37" borderId="33" xfId="0" applyNumberFormat="1" applyFont="1" applyFill="1" applyBorder="1" applyAlignment="1">
      <alignment vertical="center"/>
    </xf>
    <xf numFmtId="0" fontId="1" fillId="37" borderId="45" xfId="0" applyFont="1" applyFill="1" applyBorder="1" applyAlignment="1">
      <alignment horizontal="center" vertical="center" wrapText="1"/>
    </xf>
    <xf numFmtId="166" fontId="1" fillId="37" borderId="33" xfId="0" applyNumberFormat="1" applyFont="1" applyFill="1" applyBorder="1" applyAlignment="1">
      <alignment horizontal="center" vertical="center"/>
    </xf>
    <xf numFmtId="0" fontId="1" fillId="37" borderId="34" xfId="0" applyFont="1" applyFill="1" applyBorder="1" applyAlignment="1">
      <alignment horizontal="center" vertical="center" wrapText="1"/>
    </xf>
    <xf numFmtId="166" fontId="6" fillId="37" borderId="33" xfId="0" applyNumberFormat="1" applyFont="1" applyFill="1" applyBorder="1" applyAlignment="1">
      <alignment horizontal="center" vertical="center"/>
    </xf>
    <xf numFmtId="166" fontId="6" fillId="37" borderId="33" xfId="0" applyNumberFormat="1" applyFont="1" applyFill="1" applyBorder="1" applyAlignment="1">
      <alignment vertical="center"/>
    </xf>
    <xf numFmtId="0" fontId="1" fillId="37" borderId="43" xfId="0" applyFont="1" applyFill="1" applyBorder="1" applyAlignment="1">
      <alignment horizontal="center" vertical="center"/>
    </xf>
    <xf numFmtId="0" fontId="1" fillId="37" borderId="49" xfId="0" applyFont="1" applyFill="1" applyBorder="1" applyAlignment="1">
      <alignment vertical="center"/>
    </xf>
    <xf numFmtId="166" fontId="6" fillId="37" borderId="50" xfId="0" applyNumberFormat="1" applyFont="1" applyFill="1" applyBorder="1" applyAlignment="1">
      <alignment vertical="center"/>
    </xf>
    <xf numFmtId="0" fontId="6" fillId="0" borderId="33" xfId="0" applyFont="1" applyBorder="1" applyAlignment="1">
      <alignment horizontal="left" vertical="center"/>
    </xf>
    <xf numFmtId="0" fontId="6" fillId="0" borderId="4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/>
    </xf>
    <xf numFmtId="166" fontId="1" fillId="0" borderId="33" xfId="0" applyNumberFormat="1" applyFont="1" applyBorder="1" applyAlignment="1">
      <alignment vertical="center"/>
    </xf>
    <xf numFmtId="0" fontId="6" fillId="0" borderId="45" xfId="0" applyFont="1" applyBorder="1" applyAlignment="1">
      <alignment horizontal="center" vertical="center"/>
    </xf>
    <xf numFmtId="166" fontId="6" fillId="0" borderId="33" xfId="0" applyNumberFormat="1" applyFont="1" applyFill="1" applyBorder="1" applyAlignment="1">
      <alignment vertical="center"/>
    </xf>
    <xf numFmtId="0" fontId="6" fillId="37" borderId="34" xfId="0" applyFont="1" applyFill="1" applyBorder="1" applyAlignment="1" applyProtection="1">
      <alignment vertical="center"/>
    </xf>
    <xf numFmtId="0" fontId="6" fillId="0" borderId="43" xfId="0" applyFont="1" applyBorder="1" applyAlignment="1">
      <alignment horizontal="center" vertical="center"/>
    </xf>
    <xf numFmtId="166" fontId="6" fillId="0" borderId="50" xfId="0" applyNumberFormat="1" applyFont="1" applyBorder="1" applyAlignment="1">
      <alignment vertical="center"/>
    </xf>
    <xf numFmtId="0" fontId="1" fillId="0" borderId="31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center" vertical="center"/>
    </xf>
    <xf numFmtId="170" fontId="1" fillId="0" borderId="31" xfId="0" applyNumberFormat="1" applyFont="1" applyBorder="1" applyAlignment="1">
      <alignment vertical="center"/>
    </xf>
    <xf numFmtId="166" fontId="1" fillId="0" borderId="31" xfId="896" applyFont="1" applyBorder="1" applyAlignment="1">
      <alignment vertical="center"/>
    </xf>
    <xf numFmtId="166" fontId="1" fillId="0" borderId="31" xfId="0" applyNumberFormat="1" applyFont="1" applyBorder="1" applyAlignment="1">
      <alignment vertical="center"/>
    </xf>
    <xf numFmtId="0" fontId="6" fillId="37" borderId="49" xfId="0" applyFont="1" applyFill="1" applyBorder="1" applyAlignment="1">
      <alignment vertical="center"/>
    </xf>
    <xf numFmtId="0" fontId="6" fillId="37" borderId="23" xfId="0" applyFont="1" applyFill="1" applyBorder="1" applyAlignment="1">
      <alignment horizontal="center" vertical="center"/>
    </xf>
    <xf numFmtId="0" fontId="6" fillId="37" borderId="33" xfId="0" applyFont="1" applyFill="1" applyBorder="1" applyAlignment="1">
      <alignment horizontal="center" vertical="center" wrapText="1"/>
    </xf>
    <xf numFmtId="0" fontId="6" fillId="0" borderId="34" xfId="0" applyFont="1" applyBorder="1" applyAlignment="1">
      <alignment horizontal="left" vertical="center"/>
    </xf>
    <xf numFmtId="0" fontId="6" fillId="0" borderId="49" xfId="0" applyFont="1" applyBorder="1" applyAlignment="1">
      <alignment vertical="center"/>
    </xf>
    <xf numFmtId="0" fontId="1" fillId="0" borderId="34" xfId="0" applyFont="1" applyBorder="1" applyAlignment="1">
      <alignment horizontal="center" vertical="center"/>
    </xf>
    <xf numFmtId="0" fontId="1" fillId="0" borderId="25" xfId="0" applyFont="1" applyBorder="1" applyAlignment="1">
      <alignment vertical="center"/>
    </xf>
    <xf numFmtId="166" fontId="1" fillId="0" borderId="51" xfId="0" applyNumberFormat="1" applyFont="1" applyBorder="1" applyAlignment="1">
      <alignment vertical="center"/>
    </xf>
    <xf numFmtId="0" fontId="6" fillId="37" borderId="52" xfId="0" applyFont="1" applyFill="1" applyBorder="1" applyAlignment="1">
      <alignment vertical="center"/>
    </xf>
    <xf numFmtId="0" fontId="1" fillId="37" borderId="23" xfId="547" applyFill="1" applyBorder="1" applyAlignment="1">
      <alignment vertical="center"/>
    </xf>
    <xf numFmtId="166" fontId="1" fillId="0" borderId="24" xfId="896" applyFont="1" applyFill="1" applyBorder="1" applyAlignment="1">
      <alignment horizontal="right" vertical="center"/>
    </xf>
    <xf numFmtId="43" fontId="6" fillId="0" borderId="0" xfId="0" applyNumberFormat="1" applyFont="1"/>
    <xf numFmtId="0" fontId="11" fillId="0" borderId="23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vertical="center"/>
    </xf>
    <xf numFmtId="0" fontId="7" fillId="0" borderId="23" xfId="0" applyFont="1" applyFill="1" applyBorder="1" applyAlignment="1">
      <alignment horizontal="center" vertical="center" wrapText="1"/>
    </xf>
    <xf numFmtId="40" fontId="2" fillId="37" borderId="23" xfId="896" applyNumberFormat="1" applyFont="1" applyFill="1" applyBorder="1" applyAlignment="1">
      <alignment horizontal="right" vertical="center"/>
    </xf>
    <xf numFmtId="40" fontId="0" fillId="37" borderId="0" xfId="0" applyNumberFormat="1" applyFill="1"/>
    <xf numFmtId="0" fontId="1" fillId="0" borderId="23" xfId="0" applyFont="1" applyBorder="1"/>
    <xf numFmtId="0" fontId="0" fillId="0" borderId="23" xfId="0" applyBorder="1"/>
    <xf numFmtId="0" fontId="0" fillId="0" borderId="23" xfId="0" applyBorder="1" applyAlignment="1">
      <alignment horizontal="left"/>
    </xf>
    <xf numFmtId="166" fontId="7" fillId="0" borderId="23" xfId="896" applyFont="1" applyBorder="1" applyAlignment="1">
      <alignment horizontal="center" vertical="center"/>
    </xf>
    <xf numFmtId="166" fontId="6" fillId="0" borderId="23" xfId="0" applyNumberFormat="1" applyFont="1" applyBorder="1" applyAlignment="1">
      <alignment horizontal="left"/>
    </xf>
    <xf numFmtId="0" fontId="2" fillId="0" borderId="0" xfId="0" applyFont="1"/>
    <xf numFmtId="10" fontId="2" fillId="37" borderId="0" xfId="0" applyNumberFormat="1" applyFont="1" applyFill="1" applyBorder="1"/>
    <xf numFmtId="4" fontId="6" fillId="37" borderId="23" xfId="0" applyNumberFormat="1" applyFont="1" applyFill="1" applyBorder="1" applyAlignment="1">
      <alignment horizontal="center" vertical="center"/>
    </xf>
    <xf numFmtId="169" fontId="6" fillId="37" borderId="23" xfId="0" quotePrefix="1" applyNumberFormat="1" applyFont="1" applyFill="1" applyBorder="1" applyAlignment="1">
      <alignment horizontal="center" vertical="center"/>
    </xf>
    <xf numFmtId="4" fontId="6" fillId="37" borderId="23" xfId="896" applyNumberFormat="1" applyFont="1" applyFill="1" applyBorder="1" applyAlignment="1">
      <alignment horizontal="left" vertical="center" wrapText="1"/>
    </xf>
    <xf numFmtId="0" fontId="6" fillId="37" borderId="23" xfId="896" applyNumberFormat="1" applyFont="1" applyFill="1" applyBorder="1" applyAlignment="1">
      <alignment horizontal="right" vertical="center" wrapText="1"/>
    </xf>
    <xf numFmtId="4" fontId="1" fillId="37" borderId="23" xfId="0" applyNumberFormat="1" applyFont="1" applyFill="1" applyBorder="1" applyAlignment="1">
      <alignment horizontal="right"/>
    </xf>
    <xf numFmtId="4" fontId="6" fillId="37" borderId="23" xfId="0" applyNumberFormat="1" applyFont="1" applyFill="1" applyBorder="1" applyAlignment="1">
      <alignment horizontal="right"/>
    </xf>
    <xf numFmtId="4" fontId="6" fillId="37" borderId="23" xfId="0" applyNumberFormat="1" applyFont="1" applyFill="1" applyBorder="1" applyAlignment="1">
      <alignment horizontal="right" vertical="center"/>
    </xf>
    <xf numFmtId="4" fontId="6" fillId="0" borderId="23" xfId="0" applyNumberFormat="1" applyFont="1" applyFill="1" applyBorder="1" applyAlignment="1">
      <alignment horizontal="right" vertical="center"/>
    </xf>
    <xf numFmtId="4" fontId="11" fillId="0" borderId="23" xfId="0" applyNumberFormat="1" applyFont="1" applyBorder="1" applyAlignment="1">
      <alignment horizontal="right" vertical="center"/>
    </xf>
    <xf numFmtId="0" fontId="3" fillId="0" borderId="23" xfId="0" applyFont="1" applyBorder="1" applyAlignment="1">
      <alignment horizontal="center"/>
    </xf>
    <xf numFmtId="0" fontId="3" fillId="0" borderId="23" xfId="0" applyFont="1" applyFill="1" applyBorder="1"/>
    <xf numFmtId="170" fontId="3" fillId="0" borderId="23" xfId="0" applyNumberFormat="1" applyFont="1" applyBorder="1"/>
    <xf numFmtId="4" fontId="3" fillId="37" borderId="23" xfId="0" applyNumberFormat="1" applyFont="1" applyFill="1" applyBorder="1"/>
    <xf numFmtId="4" fontId="3" fillId="0" borderId="23" xfId="0" applyNumberFormat="1" applyFont="1" applyBorder="1"/>
    <xf numFmtId="0" fontId="0" fillId="0" borderId="31" xfId="0" applyBorder="1"/>
    <xf numFmtId="0" fontId="0" fillId="0" borderId="32" xfId="0" applyBorder="1"/>
    <xf numFmtId="0" fontId="0" fillId="0" borderId="27" xfId="0" applyBorder="1"/>
    <xf numFmtId="4" fontId="0" fillId="0" borderId="27" xfId="0" applyNumberFormat="1" applyBorder="1"/>
    <xf numFmtId="0" fontId="0" fillId="0" borderId="28" xfId="0" applyBorder="1"/>
    <xf numFmtId="4" fontId="0" fillId="0" borderId="29" xfId="0" applyNumberFormat="1" applyBorder="1"/>
    <xf numFmtId="4" fontId="61" fillId="0" borderId="23" xfId="0" applyNumberFormat="1" applyFont="1" applyFill="1" applyBorder="1" applyAlignment="1">
      <alignment horizontal="center" vertical="center"/>
    </xf>
    <xf numFmtId="170" fontId="9" fillId="0" borderId="23" xfId="0" applyNumberFormat="1" applyFont="1" applyFill="1" applyBorder="1" applyAlignment="1">
      <alignment horizontal="center" vertical="center" wrapText="1"/>
    </xf>
    <xf numFmtId="170" fontId="11" fillId="0" borderId="23" xfId="0" applyNumberFormat="1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left" vertical="center"/>
    </xf>
    <xf numFmtId="0" fontId="83" fillId="0" borderId="23" xfId="0" applyFont="1" applyFill="1" applyBorder="1" applyAlignment="1">
      <alignment vertical="center" wrapText="1"/>
    </xf>
    <xf numFmtId="0" fontId="11" fillId="0" borderId="23" xfId="0" applyFont="1" applyFill="1" applyBorder="1" applyAlignment="1">
      <alignment horizontal="left" vertical="center"/>
    </xf>
    <xf numFmtId="0" fontId="11" fillId="0" borderId="23" xfId="0" applyFont="1" applyFill="1" applyBorder="1" applyAlignment="1">
      <alignment vertical="center"/>
    </xf>
    <xf numFmtId="166" fontId="6" fillId="37" borderId="23" xfId="896" applyNumberFormat="1" applyFont="1" applyFill="1" applyBorder="1" applyAlignment="1">
      <alignment horizontal="right" vertical="center"/>
    </xf>
    <xf numFmtId="0" fontId="3" fillId="0" borderId="23" xfId="0" applyFont="1" applyBorder="1" applyAlignment="1">
      <alignment horizontal="center" vertical="center"/>
    </xf>
    <xf numFmtId="4" fontId="1" fillId="37" borderId="23" xfId="896" applyNumberFormat="1" applyFont="1" applyFill="1" applyBorder="1" applyAlignment="1">
      <alignment horizontal="right" vertical="center"/>
    </xf>
    <xf numFmtId="0" fontId="2" fillId="0" borderId="25" xfId="0" applyFont="1" applyBorder="1" applyAlignment="1">
      <alignment horizontal="center"/>
    </xf>
    <xf numFmtId="0" fontId="2" fillId="0" borderId="54" xfId="0" applyFont="1" applyBorder="1" applyAlignment="1">
      <alignment horizontal="center"/>
    </xf>
    <xf numFmtId="0" fontId="3" fillId="39" borderId="55" xfId="0" applyFont="1" applyFill="1" applyBorder="1" applyAlignment="1">
      <alignment vertical="center"/>
    </xf>
    <xf numFmtId="0" fontId="2" fillId="0" borderId="56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/>
    </xf>
    <xf numFmtId="0" fontId="2" fillId="0" borderId="23" xfId="0" applyFont="1" applyBorder="1" applyAlignment="1">
      <alignment vertical="center"/>
    </xf>
    <xf numFmtId="2" fontId="2" fillId="0" borderId="23" xfId="0" applyNumberFormat="1" applyFont="1" applyBorder="1" applyAlignment="1">
      <alignment horizontal="center"/>
    </xf>
    <xf numFmtId="0" fontId="2" fillId="39" borderId="55" xfId="0" applyFont="1" applyFill="1" applyBorder="1" applyAlignment="1">
      <alignment horizontal="center" vertical="center"/>
    </xf>
    <xf numFmtId="2" fontId="2" fillId="0" borderId="26" xfId="0" applyNumberFormat="1" applyFont="1" applyBorder="1" applyAlignment="1">
      <alignment horizontal="center"/>
    </xf>
    <xf numFmtId="0" fontId="2" fillId="39" borderId="58" xfId="0" applyFont="1" applyFill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43" fontId="2" fillId="0" borderId="23" xfId="911" applyFont="1" applyFill="1" applyBorder="1" applyAlignment="1">
      <alignment horizontal="right"/>
    </xf>
    <xf numFmtId="40" fontId="2" fillId="0" borderId="23" xfId="0" applyNumberFormat="1" applyFont="1" applyBorder="1" applyAlignment="1">
      <alignment horizontal="left"/>
    </xf>
    <xf numFmtId="43" fontId="2" fillId="0" borderId="23" xfId="911" applyFont="1" applyFill="1" applyBorder="1" applyAlignment="1">
      <alignment horizontal="center"/>
    </xf>
    <xf numFmtId="43" fontId="2" fillId="0" borderId="24" xfId="911" applyFont="1" applyFill="1" applyBorder="1" applyAlignment="1">
      <alignment horizontal="right"/>
    </xf>
    <xf numFmtId="0" fontId="2" fillId="0" borderId="26" xfId="0" applyFont="1" applyBorder="1" applyAlignment="1">
      <alignment horizontal="left"/>
    </xf>
    <xf numFmtId="40" fontId="2" fillId="0" borderId="23" xfId="0" applyNumberFormat="1" applyFont="1" applyBorder="1" applyAlignment="1">
      <alignment horizontal="center"/>
    </xf>
    <xf numFmtId="40" fontId="2" fillId="0" borderId="25" xfId="0" applyNumberFormat="1" applyFont="1" applyBorder="1" applyAlignment="1">
      <alignment horizontal="right"/>
    </xf>
    <xf numFmtId="40" fontId="2" fillId="0" borderId="25" xfId="0" applyNumberFormat="1" applyFont="1" applyBorder="1" applyAlignment="1">
      <alignment horizontal="left"/>
    </xf>
    <xf numFmtId="40" fontId="2" fillId="0" borderId="25" xfId="0" applyNumberFormat="1" applyFont="1" applyBorder="1" applyAlignment="1">
      <alignment horizontal="center"/>
    </xf>
    <xf numFmtId="43" fontId="2" fillId="0" borderId="57" xfId="911" applyFont="1" applyFill="1" applyBorder="1" applyAlignment="1">
      <alignment horizontal="right"/>
    </xf>
    <xf numFmtId="0" fontId="3" fillId="0" borderId="25" xfId="0" applyFont="1" applyBorder="1" applyAlignment="1">
      <alignment horizontal="center"/>
    </xf>
    <xf numFmtId="40" fontId="3" fillId="0" borderId="25" xfId="0" applyNumberFormat="1" applyFont="1" applyBorder="1" applyAlignment="1">
      <alignment horizontal="right"/>
    </xf>
    <xf numFmtId="40" fontId="3" fillId="0" borderId="25" xfId="0" applyNumberFormat="1" applyFont="1" applyBorder="1" applyAlignment="1">
      <alignment horizontal="left"/>
    </xf>
    <xf numFmtId="40" fontId="3" fillId="0" borderId="25" xfId="0" applyNumberFormat="1" applyFont="1" applyBorder="1" applyAlignment="1">
      <alignment horizontal="center"/>
    </xf>
    <xf numFmtId="43" fontId="3" fillId="0" borderId="0" xfId="911" applyFont="1" applyFill="1" applyBorder="1" applyAlignment="1">
      <alignment horizontal="right"/>
    </xf>
    <xf numFmtId="0" fontId="2" fillId="0" borderId="23" xfId="0" applyFont="1" applyBorder="1" applyAlignment="1">
      <alignment horizontal="left" vertical="center"/>
    </xf>
    <xf numFmtId="40" fontId="2" fillId="0" borderId="23" xfId="0" applyNumberFormat="1" applyFont="1" applyBorder="1" applyAlignment="1">
      <alignment horizontal="right" vertical="center"/>
    </xf>
    <xf numFmtId="40" fontId="2" fillId="0" borderId="23" xfId="0" applyNumberFormat="1" applyFont="1" applyBorder="1" applyAlignment="1">
      <alignment horizontal="center" vertical="center"/>
    </xf>
    <xf numFmtId="40" fontId="2" fillId="0" borderId="24" xfId="0" applyNumberFormat="1" applyFont="1" applyBorder="1" applyAlignment="1">
      <alignment horizontal="center" vertical="center"/>
    </xf>
    <xf numFmtId="2" fontId="2" fillId="0" borderId="26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2" fontId="2" fillId="0" borderId="23" xfId="0" applyNumberFormat="1" applyFont="1" applyBorder="1" applyAlignment="1">
      <alignment horizontal="right" vertical="center"/>
    </xf>
    <xf numFmtId="2" fontId="2" fillId="0" borderId="23" xfId="0" applyNumberFormat="1" applyFont="1" applyBorder="1" applyAlignment="1">
      <alignment horizontal="center" vertical="center"/>
    </xf>
    <xf numFmtId="171" fontId="2" fillId="0" borderId="23" xfId="0" applyNumberFormat="1" applyFont="1" applyBorder="1" applyAlignment="1">
      <alignment horizontal="center" vertical="center"/>
    </xf>
    <xf numFmtId="180" fontId="2" fillId="0" borderId="23" xfId="911" applyNumberFormat="1" applyFont="1" applyBorder="1" applyAlignment="1">
      <alignment horizontal="center" vertical="center"/>
    </xf>
    <xf numFmtId="0" fontId="3" fillId="33" borderId="37" xfId="0" applyFont="1" applyFill="1" applyBorder="1" applyAlignment="1">
      <alignment horizontal="center" vertical="center"/>
    </xf>
    <xf numFmtId="0" fontId="3" fillId="33" borderId="38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left" vertical="center" wrapText="1"/>
    </xf>
    <xf numFmtId="0" fontId="3" fillId="33" borderId="37" xfId="0" applyFont="1" applyFill="1" applyBorder="1" applyAlignment="1">
      <alignment horizontal="left" vertical="center"/>
    </xf>
    <xf numFmtId="0" fontId="3" fillId="33" borderId="38" xfId="0" applyFont="1" applyFill="1" applyBorder="1" applyAlignment="1">
      <alignment horizontal="left" vertical="center"/>
    </xf>
    <xf numFmtId="0" fontId="2" fillId="0" borderId="24" xfId="0" applyFont="1" applyBorder="1" applyAlignment="1">
      <alignment horizontal="center"/>
    </xf>
    <xf numFmtId="0" fontId="2" fillId="0" borderId="59" xfId="0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56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56" xfId="0" applyFont="1" applyBorder="1" applyAlignment="1">
      <alignment horizontal="left"/>
    </xf>
    <xf numFmtId="0" fontId="3" fillId="0" borderId="24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/>
    </xf>
    <xf numFmtId="2" fontId="2" fillId="0" borderId="56" xfId="0" applyNumberFormat="1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6" fillId="37" borderId="25" xfId="0" applyFont="1" applyFill="1" applyBorder="1" applyAlignment="1">
      <alignment horizontal="left" vertical="center" wrapText="1"/>
    </xf>
    <xf numFmtId="0" fontId="6" fillId="37" borderId="23" xfId="0" applyFont="1" applyFill="1" applyBorder="1" applyAlignment="1">
      <alignment horizontal="center" vertical="center" wrapText="1"/>
    </xf>
    <xf numFmtId="3" fontId="3" fillId="37" borderId="23" xfId="0" applyNumberFormat="1" applyFont="1" applyFill="1" applyBorder="1" applyAlignment="1">
      <alignment horizontal="center" vertical="center" wrapText="1"/>
    </xf>
    <xf numFmtId="3" fontId="3" fillId="37" borderId="36" xfId="0" applyNumberFormat="1" applyFont="1" applyFill="1" applyBorder="1" applyAlignment="1">
      <alignment horizontal="center" vertical="center" wrapText="1"/>
    </xf>
    <xf numFmtId="3" fontId="6" fillId="37" borderId="37" xfId="0" applyNumberFormat="1" applyFont="1" applyFill="1" applyBorder="1" applyAlignment="1">
      <alignment horizontal="center" vertical="center" wrapText="1"/>
    </xf>
    <xf numFmtId="166" fontId="6" fillId="37" borderId="37" xfId="896" applyFont="1" applyFill="1" applyBorder="1" applyAlignment="1">
      <alignment horizontal="center" vertical="center" wrapText="1"/>
    </xf>
    <xf numFmtId="166" fontId="6" fillId="37" borderId="38" xfId="896" applyFont="1" applyFill="1" applyBorder="1" applyAlignment="1">
      <alignment horizontal="center" vertical="top" wrapText="1"/>
    </xf>
    <xf numFmtId="166" fontId="6" fillId="37" borderId="38" xfId="896" applyFont="1" applyFill="1" applyBorder="1" applyAlignment="1">
      <alignment horizontal="right" vertical="center" wrapText="1"/>
    </xf>
    <xf numFmtId="166" fontId="6" fillId="37" borderId="38" xfId="896" applyFont="1" applyFill="1" applyBorder="1" applyAlignment="1">
      <alignment horizontal="center" vertical="center" wrapText="1"/>
    </xf>
    <xf numFmtId="166" fontId="6" fillId="37" borderId="37" xfId="896" applyFont="1" applyFill="1" applyBorder="1" applyAlignment="1">
      <alignment horizontal="center" wrapText="1"/>
    </xf>
    <xf numFmtId="0" fontId="3" fillId="37" borderId="24" xfId="0" applyFont="1" applyFill="1" applyBorder="1" applyAlignment="1">
      <alignment vertical="center"/>
    </xf>
    <xf numFmtId="0" fontId="3" fillId="37" borderId="25" xfId="0" applyFont="1" applyFill="1" applyBorder="1" applyAlignment="1">
      <alignment vertical="center"/>
    </xf>
    <xf numFmtId="0" fontId="3" fillId="37" borderId="26" xfId="0" applyFont="1" applyFill="1" applyBorder="1" applyAlignment="1">
      <alignment vertical="center"/>
    </xf>
    <xf numFmtId="0" fontId="1" fillId="37" borderId="26" xfId="547" applyFill="1" applyBorder="1" applyAlignment="1">
      <alignment vertical="center"/>
    </xf>
    <xf numFmtId="0" fontId="1" fillId="0" borderId="26" xfId="547" applyBorder="1" applyAlignment="1">
      <alignment vertical="center"/>
    </xf>
    <xf numFmtId="0" fontId="7" fillId="0" borderId="23" xfId="455" applyFont="1" applyBorder="1" applyAlignment="1">
      <alignment horizontal="left" vertical="center"/>
    </xf>
    <xf numFmtId="0" fontId="7" fillId="0" borderId="23" xfId="455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6" fillId="0" borderId="45" xfId="0" applyFont="1" applyBorder="1" applyAlignment="1">
      <alignment horizontal="left" vertical="center"/>
    </xf>
    <xf numFmtId="3" fontId="1" fillId="0" borderId="45" xfId="0" applyNumberFormat="1" applyFont="1" applyBorder="1" applyAlignment="1">
      <alignment horizontal="center" vertical="center"/>
    </xf>
    <xf numFmtId="176" fontId="1" fillId="0" borderId="23" xfId="896" applyNumberFormat="1" applyFont="1" applyBorder="1" applyAlignment="1">
      <alignment vertical="center"/>
    </xf>
    <xf numFmtId="0" fontId="1" fillId="0" borderId="49" xfId="0" applyFont="1" applyBorder="1" applyAlignment="1">
      <alignment vertical="center"/>
    </xf>
    <xf numFmtId="0" fontId="6" fillId="37" borderId="60" xfId="0" applyFont="1" applyFill="1" applyBorder="1" applyAlignment="1">
      <alignment vertical="center"/>
    </xf>
    <xf numFmtId="0" fontId="6" fillId="37" borderId="61" xfId="0" applyFont="1" applyFill="1" applyBorder="1" applyAlignment="1">
      <alignment vertical="center"/>
    </xf>
    <xf numFmtId="0" fontId="6" fillId="0" borderId="45" xfId="0" applyFont="1" applyBorder="1" applyAlignment="1">
      <alignment horizontal="center"/>
    </xf>
    <xf numFmtId="166" fontId="6" fillId="0" borderId="33" xfId="0" applyNumberFormat="1" applyFont="1" applyFill="1" applyBorder="1"/>
    <xf numFmtId="4" fontId="7" fillId="0" borderId="23" xfId="455" applyNumberFormat="1" applyFont="1" applyFill="1" applyBorder="1" applyAlignment="1">
      <alignment horizontal="right" vertical="center"/>
    </xf>
    <xf numFmtId="4" fontId="7" fillId="0" borderId="23" xfId="0" applyNumberFormat="1" applyFont="1" applyFill="1" applyBorder="1" applyAlignment="1">
      <alignment horizontal="right" vertical="center"/>
    </xf>
    <xf numFmtId="4" fontId="11" fillId="0" borderId="23" xfId="546" applyNumberFormat="1" applyFont="1" applyFill="1" applyBorder="1" applyAlignment="1" applyProtection="1">
      <alignment horizontal="left" vertical="center"/>
      <protection locked="0"/>
    </xf>
    <xf numFmtId="4" fontId="9" fillId="0" borderId="23" xfId="0" applyNumberFormat="1" applyFont="1" applyFill="1" applyBorder="1" applyAlignment="1">
      <alignment horizontal="right" vertical="center"/>
    </xf>
    <xf numFmtId="4" fontId="7" fillId="0" borderId="23" xfId="455" applyNumberFormat="1" applyFont="1" applyBorder="1" applyAlignment="1">
      <alignment horizontal="right" vertical="center"/>
    </xf>
    <xf numFmtId="181" fontId="7" fillId="40" borderId="45" xfId="0" applyNumberFormat="1" applyFont="1" applyFill="1" applyBorder="1" applyAlignment="1">
      <alignment horizontal="left" vertical="center" wrapText="1"/>
    </xf>
    <xf numFmtId="3" fontId="7" fillId="40" borderId="23" xfId="0" applyNumberFormat="1" applyFont="1" applyFill="1" applyBorder="1" applyAlignment="1">
      <alignment horizontal="center" vertical="center"/>
    </xf>
    <xf numFmtId="3" fontId="7" fillId="40" borderId="23" xfId="0" quotePrefix="1" applyNumberFormat="1" applyFont="1" applyFill="1" applyBorder="1" applyAlignment="1">
      <alignment horizontal="center" vertical="center"/>
    </xf>
    <xf numFmtId="170" fontId="7" fillId="40" borderId="23" xfId="0" applyNumberFormat="1" applyFont="1" applyFill="1" applyBorder="1" applyAlignment="1">
      <alignment horizontal="center" vertical="center"/>
    </xf>
    <xf numFmtId="171" fontId="7" fillId="40" borderId="23" xfId="691" applyNumberFormat="1" applyFont="1" applyFill="1" applyBorder="1" applyAlignment="1">
      <alignment horizontal="center" vertical="center"/>
    </xf>
    <xf numFmtId="2" fontId="7" fillId="40" borderId="23" xfId="0" applyNumberFormat="1" applyFont="1" applyFill="1" applyBorder="1" applyAlignment="1">
      <alignment horizontal="center" vertical="center" wrapText="1"/>
    </xf>
    <xf numFmtId="2" fontId="7" fillId="40" borderId="24" xfId="0" applyNumberFormat="1" applyFont="1" applyFill="1" applyBorder="1" applyAlignment="1">
      <alignment horizontal="center" vertical="center" wrapText="1"/>
    </xf>
    <xf numFmtId="1" fontId="7" fillId="40" borderId="24" xfId="0" applyNumberFormat="1" applyFont="1" applyFill="1" applyBorder="1" applyAlignment="1">
      <alignment horizontal="center" vertical="center" wrapText="1"/>
    </xf>
    <xf numFmtId="4" fontId="64" fillId="40" borderId="37" xfId="0" applyNumberFormat="1" applyFont="1" applyFill="1" applyBorder="1" applyAlignment="1">
      <alignment horizontal="left" vertical="center" wrapText="1"/>
    </xf>
    <xf numFmtId="4" fontId="7" fillId="37" borderId="23" xfId="0" applyNumberFormat="1" applyFont="1" applyFill="1" applyBorder="1" applyAlignment="1">
      <alignment horizontal="center" vertical="center"/>
    </xf>
    <xf numFmtId="4" fontId="7" fillId="0" borderId="23" xfId="0" applyNumberFormat="1" applyFont="1" applyFill="1" applyBorder="1" applyAlignment="1">
      <alignment horizontal="center" vertical="center"/>
    </xf>
    <xf numFmtId="4" fontId="11" fillId="37" borderId="23" xfId="0" applyNumberFormat="1" applyFont="1" applyFill="1" applyBorder="1" applyAlignment="1">
      <alignment horizontal="left" vertical="center"/>
    </xf>
    <xf numFmtId="0" fontId="6" fillId="37" borderId="23" xfId="0" applyFont="1" applyFill="1" applyBorder="1" applyAlignment="1">
      <alignment horizontal="center" vertical="center" wrapText="1"/>
    </xf>
    <xf numFmtId="4" fontId="6" fillId="37" borderId="23" xfId="896" applyNumberFormat="1" applyFont="1" applyFill="1" applyBorder="1" applyAlignment="1">
      <alignment horizontal="center" vertical="center" wrapText="1"/>
    </xf>
    <xf numFmtId="0" fontId="6" fillId="37" borderId="23" xfId="455" applyFont="1" applyFill="1" applyBorder="1" applyAlignment="1">
      <alignment horizontal="center" vertical="center"/>
    </xf>
    <xf numFmtId="0" fontId="6" fillId="37" borderId="23" xfId="455" applyFont="1" applyFill="1" applyBorder="1" applyAlignment="1">
      <alignment horizontal="left" vertical="center"/>
    </xf>
    <xf numFmtId="170" fontId="6" fillId="37" borderId="23" xfId="0" applyNumberFormat="1" applyFont="1" applyFill="1" applyBorder="1" applyAlignment="1">
      <alignment horizontal="center" vertical="center"/>
    </xf>
    <xf numFmtId="43" fontId="0" fillId="0" borderId="0" xfId="0" applyNumberFormat="1"/>
    <xf numFmtId="44" fontId="0" fillId="0" borderId="0" xfId="0" applyNumberFormat="1"/>
    <xf numFmtId="3" fontId="3" fillId="37" borderId="23" xfId="0" applyNumberFormat="1" applyFont="1" applyFill="1" applyBorder="1" applyAlignment="1">
      <alignment horizontal="center" vertical="center" wrapText="1"/>
    </xf>
    <xf numFmtId="166" fontId="6" fillId="0" borderId="23" xfId="896" applyFont="1" applyFill="1" applyBorder="1" applyAlignment="1">
      <alignment horizontal="left"/>
    </xf>
    <xf numFmtId="166" fontId="6" fillId="0" borderId="23" xfId="896" applyFont="1" applyFill="1" applyBorder="1" applyAlignment="1">
      <alignment horizontal="left" vertical="center"/>
    </xf>
    <xf numFmtId="4" fontId="2" fillId="37" borderId="0" xfId="0" applyNumberFormat="1" applyFont="1" applyFill="1" applyBorder="1" applyAlignment="1">
      <alignment vertical="center"/>
    </xf>
    <xf numFmtId="170" fontId="7" fillId="37" borderId="23" xfId="0" applyNumberFormat="1" applyFont="1" applyFill="1" applyBorder="1" applyAlignment="1">
      <alignment horizontal="center" vertical="center"/>
    </xf>
    <xf numFmtId="170" fontId="7" fillId="0" borderId="23" xfId="0" applyNumberFormat="1" applyFont="1" applyFill="1" applyBorder="1" applyAlignment="1">
      <alignment horizontal="right" vertical="center"/>
    </xf>
    <xf numFmtId="0" fontId="7" fillId="0" borderId="23" xfId="0" applyFont="1" applyFill="1" applyBorder="1" applyAlignment="1">
      <alignment horizontal="left" vertical="center"/>
    </xf>
    <xf numFmtId="175" fontId="63" fillId="37" borderId="23" xfId="691" applyNumberFormat="1" applyFont="1" applyFill="1" applyBorder="1" applyAlignment="1">
      <alignment horizontal="center" vertical="center"/>
    </xf>
    <xf numFmtId="175" fontId="63" fillId="37" borderId="23" xfId="691" applyNumberFormat="1" applyFont="1" applyFill="1" applyBorder="1" applyAlignment="1">
      <alignment horizontal="right"/>
    </xf>
    <xf numFmtId="171" fontId="1" fillId="37" borderId="23" xfId="896" applyNumberFormat="1" applyFont="1" applyFill="1" applyBorder="1" applyAlignment="1">
      <alignment horizontal="right" vertical="center"/>
    </xf>
    <xf numFmtId="171" fontId="63" fillId="37" borderId="23" xfId="691" applyNumberFormat="1" applyFont="1" applyFill="1" applyBorder="1" applyAlignment="1">
      <alignment horizontal="right" vertical="center"/>
    </xf>
    <xf numFmtId="2" fontId="63" fillId="0" borderId="23" xfId="691" applyNumberFormat="1" applyFont="1" applyFill="1" applyBorder="1" applyAlignment="1">
      <alignment horizontal="center" vertical="center"/>
    </xf>
    <xf numFmtId="4" fontId="7" fillId="0" borderId="37" xfId="0" applyNumberFormat="1" applyFont="1" applyFill="1" applyBorder="1" applyAlignment="1">
      <alignment horizontal="left" vertical="center" wrapText="1"/>
    </xf>
    <xf numFmtId="4" fontId="1" fillId="0" borderId="23" xfId="0" applyNumberFormat="1" applyFont="1" applyFill="1" applyBorder="1" applyAlignment="1">
      <alignment horizontal="center" vertical="center"/>
    </xf>
    <xf numFmtId="181" fontId="0" fillId="0" borderId="45" xfId="0" applyNumberFormat="1" applyFont="1" applyFill="1" applyBorder="1" applyAlignment="1">
      <alignment horizontal="left" vertical="center" wrapText="1"/>
    </xf>
    <xf numFmtId="170" fontId="1" fillId="0" borderId="23" xfId="0" applyNumberFormat="1" applyFont="1" applyBorder="1" applyAlignment="1">
      <alignment horizontal="center" vertical="center"/>
    </xf>
    <xf numFmtId="0" fontId="1" fillId="37" borderId="23" xfId="547" applyFont="1" applyFill="1" applyBorder="1" applyAlignment="1">
      <alignment horizontal="left" vertical="center"/>
    </xf>
    <xf numFmtId="0" fontId="7" fillId="0" borderId="23" xfId="0" applyFont="1" applyFill="1" applyBorder="1" applyAlignment="1">
      <alignment horizontal="left" vertical="center" wrapText="1"/>
    </xf>
    <xf numFmtId="3" fontId="6" fillId="0" borderId="23" xfId="0" applyNumberFormat="1" applyFont="1" applyFill="1" applyBorder="1" applyAlignment="1">
      <alignment horizontal="center" vertical="center" wrapText="1"/>
    </xf>
    <xf numFmtId="3" fontId="67" fillId="37" borderId="37" xfId="0" applyNumberFormat="1" applyFont="1" applyFill="1" applyBorder="1" applyAlignment="1">
      <alignment horizontal="left" vertical="center" wrapText="1"/>
    </xf>
    <xf numFmtId="0" fontId="7" fillId="0" borderId="23" xfId="455" applyFont="1" applyFill="1" applyBorder="1" applyAlignment="1">
      <alignment horizontal="center" vertical="center" wrapText="1"/>
    </xf>
    <xf numFmtId="0" fontId="7" fillId="0" borderId="23" xfId="0" quotePrefix="1" applyFont="1" applyFill="1" applyBorder="1" applyAlignment="1">
      <alignment horizontal="center" vertical="center"/>
    </xf>
    <xf numFmtId="0" fontId="1" fillId="0" borderId="23" xfId="455" applyFill="1" applyBorder="1" applyAlignment="1">
      <alignment horizontal="center" vertical="center"/>
    </xf>
    <xf numFmtId="3" fontId="1" fillId="37" borderId="23" xfId="0" quotePrefix="1" applyNumberFormat="1" applyFont="1" applyFill="1" applyBorder="1" applyAlignment="1">
      <alignment horizontal="center" vertical="center"/>
    </xf>
    <xf numFmtId="181" fontId="1" fillId="37" borderId="45" xfId="0" applyNumberFormat="1" applyFont="1" applyFill="1" applyBorder="1" applyAlignment="1">
      <alignment horizontal="left" vertical="center" wrapText="1"/>
    </xf>
    <xf numFmtId="3" fontId="3" fillId="37" borderId="23" xfId="0" applyNumberFormat="1" applyFont="1" applyFill="1" applyBorder="1" applyAlignment="1">
      <alignment horizontal="center" vertical="center" wrapText="1"/>
    </xf>
    <xf numFmtId="181" fontId="1" fillId="0" borderId="45" xfId="0" applyNumberFormat="1" applyFont="1" applyFill="1" applyBorder="1" applyAlignment="1">
      <alignment horizontal="left" vertical="center" wrapText="1"/>
    </xf>
    <xf numFmtId="171" fontId="63" fillId="37" borderId="23" xfId="691" applyNumberFormat="1" applyFont="1" applyFill="1" applyBorder="1" applyAlignment="1">
      <alignment horizontal="center" vertical="center"/>
    </xf>
    <xf numFmtId="182" fontId="1" fillId="37" borderId="23" xfId="896" applyNumberFormat="1" applyFont="1" applyFill="1" applyBorder="1" applyAlignment="1">
      <alignment horizontal="center" vertical="center"/>
    </xf>
    <xf numFmtId="3" fontId="1" fillId="37" borderId="23" xfId="0" quotePrefix="1" applyNumberFormat="1" applyFont="1" applyFill="1" applyBorder="1" applyAlignment="1">
      <alignment horizontal="center" vertical="center"/>
    </xf>
    <xf numFmtId="3" fontId="3" fillId="37" borderId="23" xfId="0" applyNumberFormat="1" applyFont="1" applyFill="1" applyBorder="1" applyAlignment="1">
      <alignment horizontal="center" vertical="center" wrapText="1"/>
    </xf>
    <xf numFmtId="3" fontId="3" fillId="37" borderId="36" xfId="0" applyNumberFormat="1" applyFont="1" applyFill="1" applyBorder="1" applyAlignment="1">
      <alignment horizontal="center" vertical="center" wrapText="1"/>
    </xf>
    <xf numFmtId="0" fontId="2" fillId="39" borderId="58" xfId="0" applyFont="1" applyFill="1" applyBorder="1" applyAlignment="1">
      <alignment horizontal="center" vertical="center"/>
    </xf>
    <xf numFmtId="3" fontId="1" fillId="37" borderId="23" xfId="0" quotePrefix="1" applyNumberFormat="1" applyFont="1" applyFill="1" applyBorder="1" applyAlignment="1">
      <alignment horizontal="center" vertical="center"/>
    </xf>
    <xf numFmtId="3" fontId="1" fillId="37" borderId="23" xfId="0" quotePrefix="1" applyNumberFormat="1" applyFont="1" applyFill="1" applyBorder="1" applyAlignment="1">
      <alignment horizontal="center" vertical="center"/>
    </xf>
    <xf numFmtId="170" fontId="1" fillId="0" borderId="23" xfId="397" applyNumberFormat="1" applyFont="1" applyBorder="1" applyAlignment="1">
      <alignment vertical="center"/>
    </xf>
    <xf numFmtId="0" fontId="7" fillId="34" borderId="24" xfId="0" applyFont="1" applyFill="1" applyBorder="1" applyAlignment="1">
      <alignment horizontal="center" vertical="center"/>
    </xf>
    <xf numFmtId="0" fontId="7" fillId="34" borderId="25" xfId="0" applyFont="1" applyFill="1" applyBorder="1" applyAlignment="1">
      <alignment horizontal="center" vertical="center"/>
    </xf>
    <xf numFmtId="0" fontId="7" fillId="34" borderId="26" xfId="0" applyFont="1" applyFill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39" fontId="7" fillId="0" borderId="38" xfId="896" applyNumberFormat="1" applyFont="1" applyBorder="1" applyAlignment="1">
      <alignment horizontal="center" vertical="center"/>
    </xf>
    <xf numFmtId="2" fontId="7" fillId="0" borderId="36" xfId="0" applyNumberFormat="1" applyFont="1" applyBorder="1" applyAlignment="1">
      <alignment horizontal="center" vertical="center"/>
    </xf>
    <xf numFmtId="2" fontId="7" fillId="0" borderId="38" xfId="0" applyNumberFormat="1" applyFont="1" applyBorder="1" applyAlignment="1">
      <alignment horizontal="center" vertical="center"/>
    </xf>
    <xf numFmtId="0" fontId="7" fillId="34" borderId="51" xfId="0" applyFont="1" applyFill="1" applyBorder="1" applyAlignment="1">
      <alignment horizontal="center" vertical="center"/>
    </xf>
    <xf numFmtId="4" fontId="10" fillId="37" borderId="62" xfId="0" applyNumberFormat="1" applyFont="1" applyFill="1" applyBorder="1" applyAlignment="1">
      <alignment horizontal="center" vertical="center"/>
    </xf>
    <xf numFmtId="4" fontId="10" fillId="37" borderId="63" xfId="0" applyNumberFormat="1" applyFont="1" applyFill="1" applyBorder="1" applyAlignment="1">
      <alignment horizontal="center" vertical="center"/>
    </xf>
    <xf numFmtId="4" fontId="10" fillId="37" borderId="35" xfId="0" applyNumberFormat="1" applyFont="1" applyFill="1" applyBorder="1" applyAlignment="1">
      <alignment horizontal="center" vertical="center"/>
    </xf>
    <xf numFmtId="0" fontId="0" fillId="37" borderId="37" xfId="0" applyFill="1" applyBorder="1" applyAlignment="1">
      <alignment horizontal="left" vertical="center"/>
    </xf>
    <xf numFmtId="0" fontId="0" fillId="37" borderId="36" xfId="0" applyFill="1" applyBorder="1" applyAlignment="1">
      <alignment horizontal="left" vertical="center"/>
    </xf>
    <xf numFmtId="0" fontId="0" fillId="37" borderId="38" xfId="0" applyFill="1" applyBorder="1" applyAlignment="1">
      <alignment horizontal="left" vertical="center"/>
    </xf>
    <xf numFmtId="0" fontId="9" fillId="37" borderId="64" xfId="0" applyFont="1" applyFill="1" applyBorder="1" applyAlignment="1">
      <alignment horizontal="center" vertical="center"/>
    </xf>
    <xf numFmtId="0" fontId="0" fillId="37" borderId="53" xfId="0" applyFill="1" applyBorder="1" applyAlignment="1">
      <alignment horizontal="center" vertical="center"/>
    </xf>
    <xf numFmtId="0" fontId="0" fillId="37" borderId="65" xfId="0" applyFill="1" applyBorder="1" applyAlignment="1">
      <alignment horizontal="center" vertical="center"/>
    </xf>
    <xf numFmtId="0" fontId="9" fillId="37" borderId="37" xfId="0" applyFont="1" applyFill="1" applyBorder="1" applyAlignment="1">
      <alignment horizontal="left" vertical="center"/>
    </xf>
    <xf numFmtId="0" fontId="9" fillId="37" borderId="36" xfId="0" applyFont="1" applyFill="1" applyBorder="1" applyAlignment="1">
      <alignment horizontal="left" vertical="center"/>
    </xf>
    <xf numFmtId="0" fontId="9" fillId="37" borderId="38" xfId="0" applyFont="1" applyFill="1" applyBorder="1" applyAlignment="1">
      <alignment horizontal="left" vertical="center"/>
    </xf>
    <xf numFmtId="0" fontId="6" fillId="37" borderId="34" xfId="0" applyNumberFormat="1" applyFont="1" applyFill="1" applyBorder="1" applyAlignment="1">
      <alignment horizontal="left" vertical="center"/>
    </xf>
    <xf numFmtId="0" fontId="6" fillId="37" borderId="25" xfId="0" applyNumberFormat="1" applyFont="1" applyFill="1" applyBorder="1" applyAlignment="1">
      <alignment horizontal="left" vertical="center"/>
    </xf>
    <xf numFmtId="0" fontId="6" fillId="37" borderId="51" xfId="0" applyNumberFormat="1" applyFont="1" applyFill="1" applyBorder="1" applyAlignment="1">
      <alignment horizontal="left" vertical="center"/>
    </xf>
    <xf numFmtId="0" fontId="6" fillId="37" borderId="34" xfId="0" applyFont="1" applyFill="1" applyBorder="1" applyAlignment="1">
      <alignment horizontal="left" vertical="center" wrapText="1"/>
    </xf>
    <xf numFmtId="0" fontId="6" fillId="37" borderId="25" xfId="0" applyFont="1" applyFill="1" applyBorder="1" applyAlignment="1">
      <alignment horizontal="left" vertical="center" wrapText="1"/>
    </xf>
    <xf numFmtId="0" fontId="6" fillId="37" borderId="51" xfId="0" applyFont="1" applyFill="1" applyBorder="1" applyAlignment="1">
      <alignment horizontal="left" vertical="center" wrapText="1"/>
    </xf>
    <xf numFmtId="0" fontId="9" fillId="37" borderId="37" xfId="0" applyFont="1" applyFill="1" applyBorder="1" applyAlignment="1">
      <alignment horizontal="left" vertical="center" wrapText="1"/>
    </xf>
    <xf numFmtId="0" fontId="0" fillId="37" borderId="36" xfId="0" applyFill="1" applyBorder="1" applyAlignment="1">
      <alignment horizontal="left" vertical="center" wrapText="1"/>
    </xf>
    <xf numFmtId="0" fontId="0" fillId="37" borderId="38" xfId="0" applyFill="1" applyBorder="1" applyAlignment="1">
      <alignment horizontal="left" vertical="center" wrapText="1"/>
    </xf>
    <xf numFmtId="0" fontId="8" fillId="37" borderId="66" xfId="0" applyNumberFormat="1" applyFont="1" applyFill="1" applyBorder="1" applyAlignment="1">
      <alignment horizontal="left" vertical="center"/>
    </xf>
    <xf numFmtId="0" fontId="8" fillId="37" borderId="67" xfId="0" applyNumberFormat="1" applyFont="1" applyFill="1" applyBorder="1" applyAlignment="1">
      <alignment horizontal="left" vertical="center"/>
    </xf>
    <xf numFmtId="0" fontId="8" fillId="37" borderId="21" xfId="0" applyNumberFormat="1" applyFont="1" applyFill="1" applyBorder="1" applyAlignment="1">
      <alignment horizontal="left" vertical="center"/>
    </xf>
    <xf numFmtId="0" fontId="8" fillId="37" borderId="56" xfId="0" applyNumberFormat="1" applyFont="1" applyFill="1" applyBorder="1" applyAlignment="1">
      <alignment horizontal="left" vertical="center"/>
    </xf>
    <xf numFmtId="0" fontId="8" fillId="37" borderId="41" xfId="0" applyNumberFormat="1" applyFont="1" applyFill="1" applyBorder="1" applyAlignment="1">
      <alignment horizontal="left" vertical="center"/>
    </xf>
    <xf numFmtId="0" fontId="8" fillId="37" borderId="42" xfId="0" applyNumberFormat="1" applyFont="1" applyFill="1" applyBorder="1" applyAlignment="1">
      <alignment horizontal="left" vertical="center"/>
    </xf>
    <xf numFmtId="0" fontId="8" fillId="37" borderId="34" xfId="0" applyNumberFormat="1" applyFont="1" applyFill="1" applyBorder="1" applyAlignment="1">
      <alignment horizontal="left" vertical="center"/>
    </xf>
    <xf numFmtId="0" fontId="8" fillId="37" borderId="26" xfId="0" applyNumberFormat="1" applyFont="1" applyFill="1" applyBorder="1" applyAlignment="1">
      <alignment horizontal="left" vertical="center"/>
    </xf>
    <xf numFmtId="168" fontId="8" fillId="37" borderId="62" xfId="288" applyFont="1" applyFill="1" applyBorder="1" applyAlignment="1">
      <alignment horizontal="center" vertical="center"/>
    </xf>
    <xf numFmtId="168" fontId="8" fillId="37" borderId="63" xfId="288" applyFont="1" applyFill="1" applyBorder="1" applyAlignment="1">
      <alignment horizontal="center" vertical="center"/>
    </xf>
    <xf numFmtId="168" fontId="8" fillId="37" borderId="35" xfId="288" applyFont="1" applyFill="1" applyBorder="1" applyAlignment="1">
      <alignment horizontal="center" vertical="center"/>
    </xf>
    <xf numFmtId="0" fontId="8" fillId="37" borderId="46" xfId="0" applyNumberFormat="1" applyFont="1" applyFill="1" applyBorder="1" applyAlignment="1">
      <alignment horizontal="center" vertical="center"/>
    </xf>
    <xf numFmtId="0" fontId="8" fillId="37" borderId="47" xfId="0" applyNumberFormat="1" applyFont="1" applyFill="1" applyBorder="1" applyAlignment="1">
      <alignment horizontal="center" vertical="center"/>
    </xf>
    <xf numFmtId="0" fontId="8" fillId="37" borderId="48" xfId="0" applyNumberFormat="1" applyFont="1" applyFill="1" applyBorder="1" applyAlignment="1">
      <alignment horizontal="center" vertical="center"/>
    </xf>
    <xf numFmtId="0" fontId="8" fillId="37" borderId="45" xfId="0" applyNumberFormat="1" applyFont="1" applyFill="1" applyBorder="1" applyAlignment="1">
      <alignment horizontal="center" vertical="center"/>
    </xf>
    <xf numFmtId="0" fontId="8" fillId="37" borderId="23" xfId="0" applyNumberFormat="1" applyFont="1" applyFill="1" applyBorder="1" applyAlignment="1">
      <alignment horizontal="center" vertical="center"/>
    </xf>
    <xf numFmtId="0" fontId="8" fillId="37" borderId="33" xfId="0" applyNumberFormat="1" applyFont="1" applyFill="1" applyBorder="1" applyAlignment="1">
      <alignment horizontal="center" vertical="center"/>
    </xf>
    <xf numFmtId="0" fontId="9" fillId="37" borderId="23" xfId="0" applyFont="1" applyFill="1" applyBorder="1" applyAlignment="1">
      <alignment horizontal="center" vertical="center"/>
    </xf>
    <xf numFmtId="0" fontId="9" fillId="37" borderId="45" xfId="0" applyNumberFormat="1" applyFont="1" applyFill="1" applyBorder="1" applyAlignment="1">
      <alignment vertical="center"/>
    </xf>
    <xf numFmtId="170" fontId="61" fillId="0" borderId="23" xfId="0" applyNumberFormat="1" applyFont="1" applyFill="1" applyBorder="1" applyAlignment="1">
      <alignment horizontal="center" vertical="center"/>
    </xf>
    <xf numFmtId="0" fontId="61" fillId="0" borderId="23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3" fillId="0" borderId="23" xfId="0" applyFont="1" applyBorder="1" applyAlignment="1">
      <alignment horizontal="center" vertical="center"/>
    </xf>
    <xf numFmtId="4" fontId="6" fillId="37" borderId="23" xfId="0" applyNumberFormat="1" applyFont="1" applyFill="1" applyBorder="1" applyAlignment="1">
      <alignment horizontal="center" vertical="center" wrapText="1"/>
    </xf>
    <xf numFmtId="0" fontId="6" fillId="37" borderId="23" xfId="0" applyFont="1" applyFill="1" applyBorder="1" applyAlignment="1">
      <alignment horizontal="right" vertical="center"/>
    </xf>
    <xf numFmtId="0" fontId="6" fillId="37" borderId="23" xfId="0" applyFont="1" applyFill="1" applyBorder="1" applyAlignment="1">
      <alignment horizontal="left" vertical="center" wrapText="1"/>
    </xf>
    <xf numFmtId="0" fontId="61" fillId="37" borderId="23" xfId="0" applyFont="1" applyFill="1" applyBorder="1" applyAlignment="1">
      <alignment horizontal="center" vertical="center" wrapText="1"/>
    </xf>
    <xf numFmtId="0" fontId="6" fillId="37" borderId="23" xfId="0" applyFont="1" applyFill="1" applyBorder="1" applyAlignment="1">
      <alignment horizontal="center" vertical="center" wrapText="1"/>
    </xf>
    <xf numFmtId="0" fontId="61" fillId="37" borderId="23" xfId="0" applyFont="1" applyFill="1" applyBorder="1" applyAlignment="1">
      <alignment horizontal="center" vertical="center"/>
    </xf>
    <xf numFmtId="0" fontId="6" fillId="37" borderId="23" xfId="0" applyFont="1" applyFill="1" applyBorder="1" applyAlignment="1">
      <alignment horizontal="left" vertical="center"/>
    </xf>
    <xf numFmtId="0" fontId="6" fillId="0" borderId="44" xfId="0" applyFont="1" applyBorder="1" applyAlignment="1">
      <alignment horizontal="left" vertical="center" wrapText="1"/>
    </xf>
    <xf numFmtId="0" fontId="6" fillId="0" borderId="54" xfId="0" applyFont="1" applyBorder="1" applyAlignment="1">
      <alignment horizontal="left" vertical="center" wrapText="1"/>
    </xf>
    <xf numFmtId="0" fontId="6" fillId="0" borderId="67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/>
    </xf>
    <xf numFmtId="0" fontId="6" fillId="0" borderId="25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8" fillId="0" borderId="68" xfId="0" applyFont="1" applyBorder="1" applyAlignment="1">
      <alignment horizontal="left" vertical="center"/>
    </xf>
    <xf numFmtId="0" fontId="8" fillId="0" borderId="69" xfId="0" applyFont="1" applyBorder="1" applyAlignment="1">
      <alignment horizontal="left" vertical="center"/>
    </xf>
    <xf numFmtId="0" fontId="8" fillId="0" borderId="70" xfId="0" applyFont="1" applyBorder="1" applyAlignment="1">
      <alignment horizontal="left" vertical="center"/>
    </xf>
    <xf numFmtId="179" fontId="7" fillId="0" borderId="24" xfId="0" applyNumberFormat="1" applyFont="1" applyBorder="1" applyAlignment="1">
      <alignment horizontal="center" vertical="center"/>
    </xf>
    <xf numFmtId="179" fontId="7" fillId="0" borderId="25" xfId="0" applyNumberFormat="1" applyFont="1" applyBorder="1" applyAlignment="1">
      <alignment horizontal="center" vertical="center"/>
    </xf>
    <xf numFmtId="179" fontId="7" fillId="0" borderId="26" xfId="0" applyNumberFormat="1" applyFont="1" applyBorder="1" applyAlignment="1">
      <alignment horizontal="center" vertical="center"/>
    </xf>
    <xf numFmtId="179" fontId="7" fillId="0" borderId="71" xfId="0" applyNumberFormat="1" applyFont="1" applyBorder="1" applyAlignment="1">
      <alignment horizontal="center" vertical="center"/>
    </xf>
    <xf numFmtId="179" fontId="7" fillId="0" borderId="57" xfId="0" applyNumberFormat="1" applyFont="1" applyBorder="1" applyAlignment="1">
      <alignment horizontal="center" vertical="center"/>
    </xf>
    <xf numFmtId="179" fontId="7" fillId="0" borderId="110" xfId="0" applyNumberFormat="1" applyFont="1" applyBorder="1" applyAlignment="1">
      <alignment horizontal="center" vertical="center"/>
    </xf>
    <xf numFmtId="4" fontId="7" fillId="0" borderId="24" xfId="0" applyNumberFormat="1" applyFont="1" applyBorder="1" applyAlignment="1">
      <alignment horizontal="center" vertical="center"/>
    </xf>
    <xf numFmtId="4" fontId="7" fillId="0" borderId="25" xfId="0" applyNumberFormat="1" applyFont="1" applyBorder="1" applyAlignment="1">
      <alignment horizontal="center" vertical="center"/>
    </xf>
    <xf numFmtId="4" fontId="7" fillId="0" borderId="51" xfId="0" applyNumberFormat="1" applyFont="1" applyBorder="1" applyAlignment="1">
      <alignment horizontal="center" vertical="center"/>
    </xf>
    <xf numFmtId="4" fontId="7" fillId="0" borderId="44" xfId="0" applyNumberFormat="1" applyFont="1" applyBorder="1" applyAlignment="1">
      <alignment horizontal="center" vertical="center"/>
    </xf>
    <xf numFmtId="4" fontId="7" fillId="0" borderId="54" xfId="0" applyNumberFormat="1" applyFont="1" applyBorder="1" applyAlignment="1">
      <alignment horizontal="center" vertical="center"/>
    </xf>
    <xf numFmtId="4" fontId="7" fillId="0" borderId="111" xfId="0" applyNumberFormat="1" applyFont="1" applyBorder="1" applyAlignment="1">
      <alignment horizontal="center" vertical="center"/>
    </xf>
    <xf numFmtId="179" fontId="7" fillId="0" borderId="42" xfId="0" applyNumberFormat="1" applyFont="1" applyBorder="1" applyAlignment="1">
      <alignment horizontal="center" vertical="center"/>
    </xf>
    <xf numFmtId="0" fontId="7" fillId="34" borderId="24" xfId="0" applyFont="1" applyFill="1" applyBorder="1" applyAlignment="1">
      <alignment horizontal="center" vertical="center"/>
    </xf>
    <xf numFmtId="0" fontId="7" fillId="34" borderId="25" xfId="0" applyFont="1" applyFill="1" applyBorder="1" applyAlignment="1">
      <alignment horizontal="center" vertical="center"/>
    </xf>
    <xf numFmtId="0" fontId="7" fillId="34" borderId="26" xfId="0" applyFont="1" applyFill="1" applyBorder="1" applyAlignment="1">
      <alignment horizontal="center" vertical="center"/>
    </xf>
    <xf numFmtId="4" fontId="7" fillId="0" borderId="67" xfId="0" applyNumberFormat="1" applyFont="1" applyBorder="1" applyAlignment="1">
      <alignment horizontal="center" vertical="center"/>
    </xf>
    <xf numFmtId="0" fontId="7" fillId="0" borderId="64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44" xfId="0" applyFont="1" applyBorder="1" applyAlignment="1">
      <alignment vertical="center" wrapText="1"/>
    </xf>
    <xf numFmtId="0" fontId="7" fillId="0" borderId="67" xfId="0" applyFont="1" applyBorder="1" applyAlignment="1">
      <alignment vertical="center" wrapText="1"/>
    </xf>
    <xf numFmtId="0" fontId="7" fillId="0" borderId="59" xfId="0" applyFont="1" applyBorder="1" applyAlignment="1">
      <alignment vertical="center" wrapText="1"/>
    </xf>
    <xf numFmtId="0" fontId="7" fillId="0" borderId="56" xfId="0" applyFont="1" applyBorder="1" applyAlignment="1">
      <alignment vertical="center" wrapText="1"/>
    </xf>
    <xf numFmtId="39" fontId="7" fillId="0" borderId="37" xfId="896" applyNumberFormat="1" applyFont="1" applyBorder="1" applyAlignment="1">
      <alignment horizontal="center" vertical="center"/>
    </xf>
    <xf numFmtId="39" fontId="7" fillId="0" borderId="36" xfId="896" applyNumberFormat="1" applyFont="1" applyBorder="1" applyAlignment="1">
      <alignment horizontal="center" vertical="center"/>
    </xf>
    <xf numFmtId="39" fontId="7" fillId="0" borderId="38" xfId="896" applyNumberFormat="1" applyFont="1" applyBorder="1" applyAlignment="1">
      <alignment horizontal="center" vertical="center"/>
    </xf>
    <xf numFmtId="2" fontId="7" fillId="0" borderId="37" xfId="0" applyNumberFormat="1" applyFont="1" applyBorder="1" applyAlignment="1">
      <alignment horizontal="center" vertical="center"/>
    </xf>
    <xf numFmtId="2" fontId="7" fillId="0" borderId="36" xfId="0" applyNumberFormat="1" applyFont="1" applyBorder="1" applyAlignment="1">
      <alignment horizontal="center" vertical="center"/>
    </xf>
    <xf numFmtId="2" fontId="7" fillId="0" borderId="38" xfId="0" applyNumberFormat="1" applyFont="1" applyBorder="1" applyAlignment="1">
      <alignment horizontal="center" vertical="center"/>
    </xf>
    <xf numFmtId="4" fontId="7" fillId="0" borderId="26" xfId="0" applyNumberFormat="1" applyFont="1" applyBorder="1" applyAlignment="1">
      <alignment horizontal="center" vertical="center"/>
    </xf>
    <xf numFmtId="179" fontId="7" fillId="0" borderId="51" xfId="0" applyNumberFormat="1" applyFont="1" applyBorder="1" applyAlignment="1">
      <alignment horizontal="center" vertical="center"/>
    </xf>
    <xf numFmtId="0" fontId="62" fillId="0" borderId="30" xfId="0" applyFont="1" applyBorder="1" applyAlignment="1">
      <alignment horizontal="center" vertical="center" wrapText="1"/>
    </xf>
    <xf numFmtId="0" fontId="62" fillId="0" borderId="31" xfId="0" applyFont="1" applyBorder="1" applyAlignment="1">
      <alignment horizontal="center" vertical="center" wrapText="1"/>
    </xf>
    <xf numFmtId="0" fontId="62" fillId="0" borderId="72" xfId="0" applyFont="1" applyBorder="1" applyAlignment="1">
      <alignment horizontal="center" vertical="center" wrapText="1"/>
    </xf>
    <xf numFmtId="0" fontId="62" fillId="0" borderId="21" xfId="0" applyFont="1" applyBorder="1" applyAlignment="1">
      <alignment horizontal="center" vertical="center" wrapText="1"/>
    </xf>
    <xf numFmtId="0" fontId="62" fillId="0" borderId="0" xfId="0" applyFont="1" applyBorder="1" applyAlignment="1">
      <alignment horizontal="center" vertical="center" wrapText="1"/>
    </xf>
    <xf numFmtId="0" fontId="62" fillId="0" borderId="56" xfId="0" applyFont="1" applyBorder="1" applyAlignment="1">
      <alignment horizontal="center" vertical="center" wrapText="1"/>
    </xf>
    <xf numFmtId="0" fontId="62" fillId="0" borderId="41" xfId="0" applyFont="1" applyBorder="1" applyAlignment="1">
      <alignment horizontal="center" vertical="center" wrapText="1"/>
    </xf>
    <xf numFmtId="0" fontId="62" fillId="0" borderId="57" xfId="0" applyFont="1" applyBorder="1" applyAlignment="1">
      <alignment horizontal="center" vertical="center" wrapText="1"/>
    </xf>
    <xf numFmtId="0" fontId="62" fillId="0" borderId="42" xfId="0" applyFont="1" applyBorder="1" applyAlignment="1">
      <alignment horizontal="center" vertical="center" wrapText="1"/>
    </xf>
    <xf numFmtId="0" fontId="8" fillId="0" borderId="66" xfId="0" applyFont="1" applyBorder="1" applyAlignment="1">
      <alignment horizontal="center" wrapText="1"/>
    </xf>
    <xf numFmtId="0" fontId="8" fillId="0" borderId="54" xfId="0" applyFont="1" applyBorder="1" applyAlignment="1">
      <alignment horizontal="center" wrapText="1"/>
    </xf>
    <xf numFmtId="0" fontId="8" fillId="0" borderId="67" xfId="0" applyFont="1" applyBorder="1" applyAlignment="1">
      <alignment horizontal="center" wrapText="1"/>
    </xf>
    <xf numFmtId="0" fontId="6" fillId="0" borderId="2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62" fillId="0" borderId="73" xfId="0" applyFont="1" applyBorder="1" applyAlignment="1">
      <alignment horizontal="center" vertical="center" wrapText="1"/>
    </xf>
    <xf numFmtId="0" fontId="62" fillId="0" borderId="32" xfId="0" applyFont="1" applyBorder="1" applyAlignment="1">
      <alignment horizontal="center" vertical="center" wrapText="1"/>
    </xf>
    <xf numFmtId="0" fontId="62" fillId="0" borderId="59" xfId="0" applyFont="1" applyBorder="1" applyAlignment="1">
      <alignment horizontal="center" vertical="center" wrapText="1"/>
    </xf>
    <xf numFmtId="0" fontId="62" fillId="0" borderId="27" xfId="0" applyFont="1" applyBorder="1" applyAlignment="1">
      <alignment horizontal="center" vertical="center" wrapText="1"/>
    </xf>
    <xf numFmtId="0" fontId="62" fillId="0" borderId="71" xfId="0" applyFont="1" applyBorder="1" applyAlignment="1">
      <alignment horizontal="center" vertical="center" wrapText="1"/>
    </xf>
    <xf numFmtId="0" fontId="62" fillId="0" borderId="110" xfId="0" applyFont="1" applyBorder="1" applyAlignment="1">
      <alignment horizontal="center" vertical="center" wrapText="1"/>
    </xf>
    <xf numFmtId="0" fontId="62" fillId="0" borderId="34" xfId="0" applyFont="1" applyBorder="1" applyAlignment="1">
      <alignment horizontal="center" vertical="center"/>
    </xf>
    <xf numFmtId="0" fontId="62" fillId="0" borderId="25" xfId="0" applyFont="1" applyBorder="1" applyAlignment="1">
      <alignment horizontal="center" vertical="center"/>
    </xf>
    <xf numFmtId="0" fontId="62" fillId="0" borderId="51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0" fontId="11" fillId="0" borderId="111" xfId="0" applyFont="1" applyBorder="1" applyAlignment="1">
      <alignment horizontal="center" vertical="center"/>
    </xf>
    <xf numFmtId="4" fontId="7" fillId="0" borderId="24" xfId="627" applyNumberFormat="1" applyFont="1" applyBorder="1" applyAlignment="1">
      <alignment horizontal="center" vertical="center"/>
    </xf>
    <xf numFmtId="4" fontId="7" fillId="0" borderId="25" xfId="627" applyNumberFormat="1" applyFont="1" applyBorder="1" applyAlignment="1">
      <alignment horizontal="center" vertical="center"/>
    </xf>
    <xf numFmtId="4" fontId="7" fillId="0" borderId="26" xfId="627" applyNumberFormat="1" applyFont="1" applyBorder="1" applyAlignment="1">
      <alignment horizontal="center" vertical="center"/>
    </xf>
    <xf numFmtId="4" fontId="7" fillId="0" borderId="51" xfId="627" applyNumberFormat="1" applyFont="1" applyBorder="1" applyAlignment="1">
      <alignment horizontal="center" vertical="center"/>
    </xf>
    <xf numFmtId="0" fontId="7" fillId="0" borderId="66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0" borderId="67" xfId="0" applyFont="1" applyBorder="1" applyAlignment="1">
      <alignment horizontal="center" vertical="center"/>
    </xf>
    <xf numFmtId="10" fontId="7" fillId="0" borderId="24" xfId="0" applyNumberFormat="1" applyFont="1" applyBorder="1" applyAlignment="1">
      <alignment horizontal="center" vertical="center"/>
    </xf>
    <xf numFmtId="10" fontId="7" fillId="0" borderId="25" xfId="0" applyNumberFormat="1" applyFont="1" applyBorder="1" applyAlignment="1">
      <alignment horizontal="center" vertical="center"/>
    </xf>
    <xf numFmtId="10" fontId="7" fillId="0" borderId="26" xfId="0" applyNumberFormat="1" applyFont="1" applyBorder="1" applyAlignment="1">
      <alignment horizontal="center" vertical="center"/>
    </xf>
    <xf numFmtId="10" fontId="7" fillId="0" borderId="51" xfId="0" applyNumberFormat="1" applyFont="1" applyBorder="1" applyAlignment="1">
      <alignment horizontal="center" vertical="center"/>
    </xf>
    <xf numFmtId="9" fontId="7" fillId="0" borderId="24" xfId="0" applyNumberFormat="1" applyFont="1" applyBorder="1" applyAlignment="1">
      <alignment horizontal="center" vertical="center"/>
    </xf>
    <xf numFmtId="9" fontId="7" fillId="0" borderId="25" xfId="0" applyNumberFormat="1" applyFont="1" applyBorder="1" applyAlignment="1">
      <alignment horizontal="center" vertical="center"/>
    </xf>
    <xf numFmtId="9" fontId="7" fillId="0" borderId="26" xfId="0" applyNumberFormat="1" applyFont="1" applyBorder="1" applyAlignment="1">
      <alignment horizontal="center" vertical="center"/>
    </xf>
    <xf numFmtId="9" fontId="7" fillId="0" borderId="51" xfId="0" applyNumberFormat="1" applyFont="1" applyBorder="1" applyAlignment="1">
      <alignment horizontal="center" vertical="center"/>
    </xf>
    <xf numFmtId="0" fontId="7" fillId="0" borderId="59" xfId="0" applyFont="1" applyBorder="1" applyAlignment="1">
      <alignment horizontal="left" vertical="center" indent="1"/>
    </xf>
    <xf numFmtId="0" fontId="7" fillId="0" borderId="56" xfId="0" applyFont="1" applyBorder="1" applyAlignment="1">
      <alignment horizontal="left" vertical="center" indent="1"/>
    </xf>
    <xf numFmtId="0" fontId="7" fillId="0" borderId="22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9" fontId="7" fillId="0" borderId="24" xfId="0" applyNumberFormat="1" applyFont="1" applyBorder="1" applyAlignment="1">
      <alignment horizontal="left" vertical="center" indent="2"/>
    </xf>
    <xf numFmtId="9" fontId="7" fillId="0" borderId="26" xfId="0" applyNumberFormat="1" applyFont="1" applyBorder="1" applyAlignment="1">
      <alignment horizontal="left" vertical="center" indent="2"/>
    </xf>
    <xf numFmtId="166" fontId="7" fillId="0" borderId="24" xfId="896" applyFont="1" applyBorder="1" applyAlignment="1">
      <alignment vertical="center"/>
    </xf>
    <xf numFmtId="166" fontId="7" fillId="0" borderId="25" xfId="896" applyFont="1" applyBorder="1" applyAlignment="1">
      <alignment vertical="center"/>
    </xf>
    <xf numFmtId="166" fontId="7" fillId="0" borderId="26" xfId="896" applyFont="1" applyBorder="1" applyAlignment="1">
      <alignment vertical="center"/>
    </xf>
    <xf numFmtId="166" fontId="7" fillId="0" borderId="51" xfId="896" applyFont="1" applyBorder="1" applyAlignment="1">
      <alignment vertical="center"/>
    </xf>
    <xf numFmtId="9" fontId="7" fillId="0" borderId="75" xfId="0" applyNumberFormat="1" applyFont="1" applyBorder="1" applyAlignment="1">
      <alignment horizontal="left" vertical="center" indent="2"/>
    </xf>
    <xf numFmtId="9" fontId="7" fillId="0" borderId="74" xfId="0" applyNumberFormat="1" applyFont="1" applyBorder="1" applyAlignment="1">
      <alignment horizontal="left" vertical="center" indent="2"/>
    </xf>
    <xf numFmtId="166" fontId="7" fillId="0" borderId="39" xfId="896" applyFont="1" applyBorder="1" applyAlignment="1">
      <alignment vertical="center"/>
    </xf>
    <xf numFmtId="166" fontId="7" fillId="0" borderId="76" xfId="896" applyFont="1" applyBorder="1" applyAlignment="1">
      <alignment vertical="center"/>
    </xf>
    <xf numFmtId="166" fontId="7" fillId="0" borderId="77" xfId="896" applyFont="1" applyBorder="1" applyAlignment="1">
      <alignment vertical="center"/>
    </xf>
    <xf numFmtId="166" fontId="7" fillId="0" borderId="40" xfId="896" applyFont="1" applyBorder="1" applyAlignment="1">
      <alignment vertical="center"/>
    </xf>
    <xf numFmtId="3" fontId="6" fillId="0" borderId="23" xfId="0" applyNumberFormat="1" applyFont="1" applyBorder="1" applyAlignment="1">
      <alignment horizontal="center" vertical="center" wrapText="1"/>
    </xf>
    <xf numFmtId="3" fontId="6" fillId="0" borderId="23" xfId="0" applyNumberFormat="1" applyFont="1" applyBorder="1" applyAlignment="1">
      <alignment horizontal="center" vertical="center"/>
    </xf>
    <xf numFmtId="3" fontId="61" fillId="37" borderId="23" xfId="0" applyNumberFormat="1" applyFont="1" applyFill="1" applyBorder="1" applyAlignment="1">
      <alignment horizontal="left" vertical="center"/>
    </xf>
    <xf numFmtId="3" fontId="61" fillId="37" borderId="23" xfId="0" applyNumberFormat="1" applyFont="1" applyFill="1" applyBorder="1" applyAlignment="1">
      <alignment horizontal="left" vertical="center" wrapText="1"/>
    </xf>
    <xf numFmtId="3" fontId="62" fillId="0" borderId="24" xfId="0" applyNumberFormat="1" applyFont="1" applyBorder="1" applyAlignment="1">
      <alignment horizontal="center" vertical="center"/>
    </xf>
    <xf numFmtId="3" fontId="62" fillId="0" borderId="25" xfId="0" applyNumberFormat="1" applyFont="1" applyBorder="1" applyAlignment="1">
      <alignment horizontal="center" vertical="center"/>
    </xf>
    <xf numFmtId="3" fontId="62" fillId="0" borderId="26" xfId="0" applyNumberFormat="1" applyFont="1" applyBorder="1" applyAlignment="1">
      <alignment horizontal="center" vertical="center"/>
    </xf>
    <xf numFmtId="3" fontId="1" fillId="37" borderId="23" xfId="0" quotePrefix="1" applyNumberFormat="1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left" vertical="center"/>
    </xf>
    <xf numFmtId="0" fontId="3" fillId="37" borderId="25" xfId="0" applyFont="1" applyFill="1" applyBorder="1" applyAlignment="1">
      <alignment horizontal="left" vertical="center"/>
    </xf>
    <xf numFmtId="0" fontId="3" fillId="37" borderId="26" xfId="0" applyFont="1" applyFill="1" applyBorder="1" applyAlignment="1">
      <alignment horizontal="left" vertical="center"/>
    </xf>
    <xf numFmtId="0" fontId="60" fillId="0" borderId="44" xfId="0" applyFont="1" applyBorder="1" applyAlignment="1">
      <alignment horizontal="center" vertical="center"/>
    </xf>
    <xf numFmtId="0" fontId="60" fillId="0" borderId="54" xfId="0" applyFont="1" applyBorder="1" applyAlignment="1">
      <alignment horizontal="center" vertical="center"/>
    </xf>
    <xf numFmtId="0" fontId="60" fillId="0" borderId="67" xfId="0" applyFont="1" applyBorder="1" applyAlignment="1">
      <alignment horizontal="center" vertical="center"/>
    </xf>
    <xf numFmtId="0" fontId="60" fillId="0" borderId="71" xfId="0" applyFont="1" applyBorder="1" applyAlignment="1">
      <alignment horizontal="center" vertical="center"/>
    </xf>
    <xf numFmtId="0" fontId="60" fillId="0" borderId="57" xfId="0" applyFont="1" applyBorder="1" applyAlignment="1">
      <alignment horizontal="center" vertical="center"/>
    </xf>
    <xf numFmtId="0" fontId="60" fillId="0" borderId="42" xfId="0" applyFont="1" applyBorder="1" applyAlignment="1">
      <alignment horizontal="center" vertical="center"/>
    </xf>
    <xf numFmtId="166" fontId="6" fillId="37" borderId="44" xfId="896" applyFont="1" applyFill="1" applyBorder="1" applyAlignment="1">
      <alignment horizontal="center" vertical="center" wrapText="1"/>
    </xf>
    <xf numFmtId="166" fontId="6" fillId="37" borderId="67" xfId="896" applyFont="1" applyFill="1" applyBorder="1" applyAlignment="1">
      <alignment horizontal="center" vertical="center" wrapText="1"/>
    </xf>
    <xf numFmtId="166" fontId="6" fillId="37" borderId="71" xfId="896" applyFont="1" applyFill="1" applyBorder="1" applyAlignment="1">
      <alignment horizontal="center" vertical="center" wrapText="1"/>
    </xf>
    <xf numFmtId="166" fontId="6" fillId="37" borderId="42" xfId="896" applyFont="1" applyFill="1" applyBorder="1" applyAlignment="1">
      <alignment horizontal="center" vertical="center" wrapText="1"/>
    </xf>
    <xf numFmtId="166" fontId="1" fillId="41" borderId="44" xfId="896" applyFont="1" applyFill="1" applyBorder="1" applyAlignment="1">
      <alignment horizontal="center" vertical="center"/>
    </xf>
    <xf numFmtId="166" fontId="1" fillId="41" borderId="54" xfId="896" applyFont="1" applyFill="1" applyBorder="1" applyAlignment="1">
      <alignment horizontal="center" vertical="center"/>
    </xf>
    <xf numFmtId="166" fontId="1" fillId="41" borderId="67" xfId="896" applyFont="1" applyFill="1" applyBorder="1" applyAlignment="1">
      <alignment horizontal="center" vertical="center"/>
    </xf>
    <xf numFmtId="166" fontId="1" fillId="41" borderId="59" xfId="896" applyFont="1" applyFill="1" applyBorder="1" applyAlignment="1">
      <alignment horizontal="center" vertical="center"/>
    </xf>
    <xf numFmtId="166" fontId="1" fillId="41" borderId="0" xfId="896" applyFont="1" applyFill="1" applyBorder="1" applyAlignment="1">
      <alignment horizontal="center" vertical="center"/>
    </xf>
    <xf numFmtId="166" fontId="1" fillId="41" borderId="56" xfId="896" applyFont="1" applyFill="1" applyBorder="1" applyAlignment="1">
      <alignment horizontal="center" vertical="center"/>
    </xf>
    <xf numFmtId="166" fontId="1" fillId="41" borderId="71" xfId="896" applyFont="1" applyFill="1" applyBorder="1" applyAlignment="1">
      <alignment horizontal="center" vertical="center"/>
    </xf>
    <xf numFmtId="166" fontId="1" fillId="41" borderId="57" xfId="896" applyFont="1" applyFill="1" applyBorder="1" applyAlignment="1">
      <alignment horizontal="center" vertical="center"/>
    </xf>
    <xf numFmtId="166" fontId="1" fillId="41" borderId="42" xfId="896" applyFont="1" applyFill="1" applyBorder="1" applyAlignment="1">
      <alignment horizontal="center" vertical="center"/>
    </xf>
    <xf numFmtId="0" fontId="3" fillId="37" borderId="24" xfId="0" applyFont="1" applyFill="1" applyBorder="1" applyAlignment="1">
      <alignment horizontal="left" vertical="center" wrapText="1"/>
    </xf>
    <xf numFmtId="0" fontId="3" fillId="37" borderId="25" xfId="0" applyFont="1" applyFill="1" applyBorder="1" applyAlignment="1">
      <alignment horizontal="left" vertical="center" wrapText="1"/>
    </xf>
    <xf numFmtId="0" fontId="3" fillId="37" borderId="26" xfId="0" applyFont="1" applyFill="1" applyBorder="1" applyAlignment="1">
      <alignment horizontal="left" vertical="center" wrapText="1"/>
    </xf>
    <xf numFmtId="166" fontId="6" fillId="37" borderId="23" xfId="896" applyFont="1" applyFill="1" applyBorder="1" applyAlignment="1">
      <alignment horizontal="center" vertical="center" wrapText="1"/>
    </xf>
    <xf numFmtId="0" fontId="0" fillId="37" borderId="36" xfId="0" applyFill="1" applyBorder="1" applyAlignment="1">
      <alignment horizontal="center"/>
    </xf>
    <xf numFmtId="0" fontId="0" fillId="37" borderId="38" xfId="0" applyFill="1" applyBorder="1" applyAlignment="1">
      <alignment horizontal="center"/>
    </xf>
    <xf numFmtId="3" fontId="3" fillId="37" borderId="23" xfId="0" applyNumberFormat="1" applyFont="1" applyFill="1" applyBorder="1" applyAlignment="1">
      <alignment horizontal="center" vertical="center" wrapText="1"/>
    </xf>
    <xf numFmtId="3" fontId="3" fillId="37" borderId="37" xfId="0" applyNumberFormat="1" applyFont="1" applyFill="1" applyBorder="1" applyAlignment="1">
      <alignment horizontal="center" vertical="center" wrapText="1"/>
    </xf>
    <xf numFmtId="3" fontId="3" fillId="37" borderId="36" xfId="0" applyNumberFormat="1" applyFont="1" applyFill="1" applyBorder="1" applyAlignment="1">
      <alignment horizontal="center" vertical="center" wrapText="1"/>
    </xf>
    <xf numFmtId="3" fontId="3" fillId="37" borderId="38" xfId="0" applyNumberFormat="1" applyFont="1" applyFill="1" applyBorder="1" applyAlignment="1">
      <alignment horizontal="center" vertical="center" wrapText="1"/>
    </xf>
    <xf numFmtId="2" fontId="0" fillId="0" borderId="23" xfId="0" applyNumberFormat="1" applyBorder="1" applyAlignment="1">
      <alignment horizontal="center"/>
    </xf>
    <xf numFmtId="0" fontId="6" fillId="0" borderId="44" xfId="0" applyFont="1" applyBorder="1" applyAlignment="1">
      <alignment horizontal="center" wrapText="1"/>
    </xf>
    <xf numFmtId="0" fontId="6" fillId="0" borderId="67" xfId="0" applyFont="1" applyBorder="1" applyAlignment="1">
      <alignment horizontal="center" wrapText="1"/>
    </xf>
    <xf numFmtId="0" fontId="6" fillId="0" borderId="71" xfId="0" applyFont="1" applyBorder="1" applyAlignment="1">
      <alignment horizontal="center" wrapText="1"/>
    </xf>
    <xf numFmtId="0" fontId="6" fillId="0" borderId="42" xfId="0" applyFont="1" applyBorder="1" applyAlignment="1">
      <alignment horizontal="center" wrapText="1"/>
    </xf>
    <xf numFmtId="0" fontId="0" fillId="0" borderId="23" xfId="0" applyBorder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67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2" fillId="0" borderId="7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3" fillId="39" borderId="24" xfId="0" applyFont="1" applyFill="1" applyBorder="1" applyAlignment="1">
      <alignment horizontal="center" vertical="center"/>
    </xf>
    <xf numFmtId="0" fontId="3" fillId="39" borderId="25" xfId="0" applyFont="1" applyFill="1" applyBorder="1" applyAlignment="1">
      <alignment horizontal="center" vertical="center"/>
    </xf>
    <xf numFmtId="0" fontId="3" fillId="39" borderId="34" xfId="0" applyFont="1" applyFill="1" applyBorder="1" applyAlignment="1">
      <alignment horizontal="center" vertical="center"/>
    </xf>
    <xf numFmtId="0" fontId="3" fillId="39" borderId="26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39" borderId="78" xfId="0" applyFont="1" applyFill="1" applyBorder="1" applyAlignment="1">
      <alignment horizontal="center" vertical="center"/>
    </xf>
    <xf numFmtId="0" fontId="2" fillId="39" borderId="58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5" fillId="39" borderId="23" xfId="0" applyFont="1" applyFill="1" applyBorder="1" applyAlignment="1">
      <alignment horizontal="center" vertical="center"/>
    </xf>
    <xf numFmtId="0" fontId="5" fillId="39" borderId="24" xfId="0" applyFont="1" applyFill="1" applyBorder="1" applyAlignment="1">
      <alignment horizontal="center" vertical="center"/>
    </xf>
    <xf numFmtId="0" fontId="5" fillId="39" borderId="25" xfId="0" applyFont="1" applyFill="1" applyBorder="1" applyAlignment="1">
      <alignment horizontal="center" vertical="center"/>
    </xf>
    <xf numFmtId="0" fontId="5" fillId="39" borderId="26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left" vertical="center"/>
    </xf>
    <xf numFmtId="0" fontId="5" fillId="33" borderId="24" xfId="0" applyFont="1" applyFill="1" applyBorder="1" applyAlignment="1">
      <alignment horizontal="center" vertical="center"/>
    </xf>
    <xf numFmtId="0" fontId="5" fillId="33" borderId="25" xfId="0" applyFont="1" applyFill="1" applyBorder="1" applyAlignment="1">
      <alignment horizontal="center" vertical="center"/>
    </xf>
    <xf numFmtId="0" fontId="5" fillId="33" borderId="26" xfId="0" applyFont="1" applyFill="1" applyBorder="1" applyAlignment="1">
      <alignment horizontal="center" vertical="center"/>
    </xf>
    <xf numFmtId="0" fontId="2" fillId="33" borderId="24" xfId="0" applyFont="1" applyFill="1" applyBorder="1" applyAlignment="1">
      <alignment horizontal="center" vertical="center"/>
    </xf>
    <xf numFmtId="0" fontId="2" fillId="33" borderId="25" xfId="0" applyFont="1" applyFill="1" applyBorder="1" applyAlignment="1">
      <alignment horizontal="center" vertical="center"/>
    </xf>
    <xf numFmtId="0" fontId="2" fillId="33" borderId="26" xfId="0" applyFont="1" applyFill="1" applyBorder="1" applyAlignment="1">
      <alignment horizontal="center" vertical="center"/>
    </xf>
    <xf numFmtId="0" fontId="3" fillId="33" borderId="37" xfId="0" applyFont="1" applyFill="1" applyBorder="1" applyAlignment="1">
      <alignment horizontal="center" vertical="center"/>
    </xf>
    <xf numFmtId="0" fontId="3" fillId="33" borderId="38" xfId="0" applyFont="1" applyFill="1" applyBorder="1" applyAlignment="1">
      <alignment horizontal="center" vertical="center"/>
    </xf>
    <xf numFmtId="180" fontId="3" fillId="33" borderId="37" xfId="911" applyNumberFormat="1" applyFont="1" applyFill="1" applyBorder="1" applyAlignment="1">
      <alignment horizontal="center" vertical="center"/>
    </xf>
    <xf numFmtId="180" fontId="3" fillId="33" borderId="38" xfId="911" applyNumberFormat="1" applyFont="1" applyFill="1" applyBorder="1" applyAlignment="1">
      <alignment horizontal="center" vertical="center"/>
    </xf>
    <xf numFmtId="1" fontId="5" fillId="37" borderId="30" xfId="0" applyNumberFormat="1" applyFont="1" applyFill="1" applyBorder="1" applyAlignment="1">
      <alignment horizontal="left" vertical="center"/>
    </xf>
    <xf numFmtId="0" fontId="5" fillId="37" borderId="31" xfId="0" applyFont="1" applyFill="1" applyBorder="1" applyAlignment="1">
      <alignment vertical="center"/>
    </xf>
    <xf numFmtId="1" fontId="3" fillId="37" borderId="31" xfId="0" applyNumberFormat="1" applyFont="1" applyFill="1" applyBorder="1" applyAlignment="1">
      <alignment horizontal="left" vertical="center"/>
    </xf>
    <xf numFmtId="0" fontId="3" fillId="37" borderId="31" xfId="0" applyFont="1" applyFill="1" applyBorder="1" applyAlignment="1">
      <alignment vertical="center"/>
    </xf>
    <xf numFmtId="0" fontId="3" fillId="37" borderId="32" xfId="0" applyFont="1" applyFill="1" applyBorder="1" applyAlignment="1">
      <alignment vertical="center"/>
    </xf>
    <xf numFmtId="1" fontId="72" fillId="0" borderId="92" xfId="0" applyNumberFormat="1" applyFont="1" applyBorder="1" applyAlignment="1">
      <alignment horizontal="left"/>
    </xf>
    <xf numFmtId="0" fontId="72" fillId="0" borderId="90" xfId="0" applyFont="1" applyBorder="1"/>
    <xf numFmtId="0" fontId="72" fillId="0" borderId="91" xfId="0" applyFont="1" applyBorder="1"/>
    <xf numFmtId="1" fontId="59" fillId="37" borderId="21" xfId="0" applyNumberFormat="1" applyFont="1" applyFill="1" applyBorder="1" applyAlignment="1">
      <alignment horizontal="left" vertical="center"/>
    </xf>
    <xf numFmtId="1" fontId="59" fillId="37" borderId="0" xfId="0" applyNumberFormat="1" applyFont="1" applyFill="1" applyBorder="1" applyAlignment="1">
      <alignment horizontal="left" vertical="center"/>
    </xf>
    <xf numFmtId="1" fontId="59" fillId="37" borderId="27" xfId="0" applyNumberFormat="1" applyFont="1" applyFill="1" applyBorder="1" applyAlignment="1">
      <alignment horizontal="left" vertical="center"/>
    </xf>
    <xf numFmtId="1" fontId="3" fillId="37" borderId="21" xfId="0" applyNumberFormat="1" applyFont="1" applyFill="1" applyBorder="1" applyAlignment="1">
      <alignment horizontal="left" vertical="center" wrapText="1"/>
    </xf>
    <xf numFmtId="1" fontId="3" fillId="37" borderId="0" xfId="0" applyNumberFormat="1" applyFont="1" applyFill="1" applyBorder="1" applyAlignment="1">
      <alignment horizontal="left" vertical="center" wrapText="1"/>
    </xf>
    <xf numFmtId="1" fontId="3" fillId="37" borderId="27" xfId="0" applyNumberFormat="1" applyFont="1" applyFill="1" applyBorder="1" applyAlignment="1">
      <alignment horizontal="left" vertical="center" wrapText="1"/>
    </xf>
    <xf numFmtId="1" fontId="3" fillId="37" borderId="21" xfId="0" applyNumberFormat="1" applyFont="1" applyFill="1" applyBorder="1" applyAlignment="1">
      <alignment horizontal="left" vertical="center"/>
    </xf>
    <xf numFmtId="1" fontId="3" fillId="37" borderId="0" xfId="0" applyNumberFormat="1" applyFont="1" applyFill="1" applyBorder="1" applyAlignment="1">
      <alignment horizontal="left" vertical="center"/>
    </xf>
    <xf numFmtId="1" fontId="3" fillId="37" borderId="27" xfId="0" applyNumberFormat="1" applyFont="1" applyFill="1" applyBorder="1" applyAlignment="1">
      <alignment horizontal="left" vertical="center"/>
    </xf>
    <xf numFmtId="0" fontId="77" fillId="0" borderId="93" xfId="0" applyFont="1" applyBorder="1" applyAlignment="1">
      <alignment horizontal="center" vertical="center"/>
    </xf>
    <xf numFmtId="0" fontId="72" fillId="0" borderId="94" xfId="0" applyFont="1" applyBorder="1"/>
    <xf numFmtId="0" fontId="84" fillId="37" borderId="21" xfId="0" applyFont="1" applyFill="1" applyBorder="1" applyAlignment="1">
      <alignment horizontal="center" vertical="center"/>
    </xf>
    <xf numFmtId="0" fontId="84" fillId="37" borderId="0" xfId="0" applyFont="1" applyFill="1" applyBorder="1" applyAlignment="1">
      <alignment horizontal="center" vertical="center"/>
    </xf>
    <xf numFmtId="0" fontId="84" fillId="37" borderId="27" xfId="0" applyFont="1" applyFill="1" applyBorder="1" applyAlignment="1">
      <alignment horizontal="center" vertical="center"/>
    </xf>
    <xf numFmtId="0" fontId="84" fillId="37" borderId="22" xfId="0" applyFont="1" applyFill="1" applyBorder="1" applyAlignment="1">
      <alignment horizontal="center" vertical="center"/>
    </xf>
    <xf numFmtId="0" fontId="84" fillId="37" borderId="28" xfId="0" applyFont="1" applyFill="1" applyBorder="1" applyAlignment="1">
      <alignment horizontal="center" vertical="center"/>
    </xf>
    <xf numFmtId="0" fontId="84" fillId="37" borderId="29" xfId="0" applyFont="1" applyFill="1" applyBorder="1" applyAlignment="1">
      <alignment horizontal="center" vertical="center"/>
    </xf>
    <xf numFmtId="0" fontId="77" fillId="0" borderId="99" xfId="0" applyFont="1" applyBorder="1" applyAlignment="1">
      <alignment horizontal="center" vertical="center"/>
    </xf>
    <xf numFmtId="0" fontId="72" fillId="0" borderId="31" xfId="0" applyFont="1" applyBorder="1"/>
    <xf numFmtId="0" fontId="72" fillId="0" borderId="100" xfId="0" applyFont="1" applyBorder="1"/>
    <xf numFmtId="0" fontId="72" fillId="0" borderId="101" xfId="0" applyFont="1" applyBorder="1"/>
    <xf numFmtId="0" fontId="72" fillId="0" borderId="28" xfId="0" applyFont="1" applyBorder="1"/>
    <xf numFmtId="0" fontId="72" fillId="0" borderId="102" xfId="0" applyFont="1" applyBorder="1"/>
    <xf numFmtId="1" fontId="71" fillId="0" borderId="103" xfId="0" applyNumberFormat="1" applyFont="1" applyBorder="1" applyAlignment="1">
      <alignment horizontal="left"/>
    </xf>
    <xf numFmtId="0" fontId="72" fillId="0" borderId="104" xfId="0" applyFont="1" applyBorder="1"/>
    <xf numFmtId="0" fontId="72" fillId="0" borderId="105" xfId="0" applyFont="1" applyBorder="1"/>
    <xf numFmtId="1" fontId="72" fillId="37" borderId="22" xfId="0" applyNumberFormat="1" applyFont="1" applyFill="1" applyBorder="1" applyAlignment="1">
      <alignment horizontal="left" vertical="center"/>
    </xf>
    <xf numFmtId="0" fontId="72" fillId="37" borderId="28" xfId="0" applyFont="1" applyFill="1" applyBorder="1" applyAlignment="1">
      <alignment vertical="center"/>
    </xf>
    <xf numFmtId="1" fontId="72" fillId="37" borderId="28" xfId="0" applyNumberFormat="1" applyFont="1" applyFill="1" applyBorder="1" applyAlignment="1">
      <alignment horizontal="left" vertical="center"/>
    </xf>
    <xf numFmtId="0" fontId="72" fillId="37" borderId="29" xfId="0" applyFont="1" applyFill="1" applyBorder="1" applyAlignment="1">
      <alignment vertical="center"/>
    </xf>
    <xf numFmtId="1" fontId="72" fillId="36" borderId="92" xfId="0" applyNumberFormat="1" applyFont="1" applyFill="1" applyBorder="1" applyAlignment="1">
      <alignment horizontal="left"/>
    </xf>
    <xf numFmtId="0" fontId="72" fillId="36" borderId="90" xfId="0" applyFont="1" applyFill="1" applyBorder="1"/>
    <xf numFmtId="0" fontId="72" fillId="36" borderId="91" xfId="0" applyFont="1" applyFill="1" applyBorder="1"/>
    <xf numFmtId="1" fontId="71" fillId="0" borderId="92" xfId="0" applyNumberFormat="1" applyFont="1" applyBorder="1" applyAlignment="1">
      <alignment horizontal="left"/>
    </xf>
    <xf numFmtId="40" fontId="84" fillId="0" borderId="106" xfId="0" applyNumberFormat="1" applyFont="1" applyBorder="1" applyAlignment="1">
      <alignment horizontal="center" vertical="center"/>
    </xf>
    <xf numFmtId="0" fontId="72" fillId="0" borderId="107" xfId="0" applyFont="1" applyBorder="1"/>
    <xf numFmtId="1" fontId="74" fillId="36" borderId="92" xfId="0" applyNumberFormat="1" applyFont="1" applyFill="1" applyBorder="1" applyAlignment="1">
      <alignment horizontal="left"/>
    </xf>
    <xf numFmtId="0" fontId="74" fillId="36" borderId="90" xfId="0" applyFont="1" applyFill="1" applyBorder="1"/>
    <xf numFmtId="0" fontId="74" fillId="36" borderId="91" xfId="0" applyFont="1" applyFill="1" applyBorder="1"/>
    <xf numFmtId="1" fontId="72" fillId="0" borderId="90" xfId="0" applyNumberFormat="1" applyFont="1" applyBorder="1" applyAlignment="1">
      <alignment horizontal="left"/>
    </xf>
    <xf numFmtId="1" fontId="72" fillId="0" borderId="91" xfId="0" applyNumberFormat="1" applyFont="1" applyBorder="1" applyAlignment="1">
      <alignment horizontal="left"/>
    </xf>
    <xf numFmtId="167" fontId="84" fillId="0" borderId="108" xfId="0" applyNumberFormat="1" applyFont="1" applyBorder="1" applyAlignment="1">
      <alignment horizontal="center" vertical="center"/>
    </xf>
    <xf numFmtId="0" fontId="72" fillId="0" borderId="109" xfId="0" applyFont="1" applyBorder="1"/>
    <xf numFmtId="10" fontId="84" fillId="0" borderId="106" xfId="0" applyNumberFormat="1" applyFont="1" applyBorder="1" applyAlignment="1">
      <alignment horizontal="center" vertical="center"/>
    </xf>
    <xf numFmtId="10" fontId="72" fillId="0" borderId="107" xfId="0" applyNumberFormat="1" applyFont="1" applyBorder="1"/>
    <xf numFmtId="0" fontId="81" fillId="0" borderId="95" xfId="0" applyFont="1" applyBorder="1" applyAlignment="1">
      <alignment horizontal="center" vertical="center" wrapText="1"/>
    </xf>
    <xf numFmtId="0" fontId="72" fillId="0" borderId="96" xfId="0" applyFont="1" applyBorder="1"/>
    <xf numFmtId="0" fontId="72" fillId="0" borderId="97" xfId="0" applyFont="1" applyBorder="1"/>
    <xf numFmtId="0" fontId="72" fillId="0" borderId="21" xfId="0" applyFont="1" applyBorder="1"/>
    <xf numFmtId="0" fontId="72" fillId="0" borderId="0" xfId="0" applyFont="1" applyBorder="1"/>
    <xf numFmtId="0" fontId="72" fillId="0" borderId="98" xfId="0" applyFont="1" applyBorder="1"/>
    <xf numFmtId="0" fontId="85" fillId="37" borderId="0" xfId="0" applyFont="1" applyFill="1" applyBorder="1" applyAlignment="1">
      <alignment horizontal="center" vertical="center"/>
    </xf>
    <xf numFmtId="0" fontId="72" fillId="37" borderId="0" xfId="0" applyFont="1" applyFill="1" applyBorder="1"/>
    <xf numFmtId="10" fontId="80" fillId="37" borderId="0" xfId="0" applyNumberFormat="1" applyFont="1" applyFill="1" applyBorder="1" applyAlignment="1">
      <alignment horizontal="center" vertical="center"/>
    </xf>
    <xf numFmtId="0" fontId="79" fillId="37" borderId="0" xfId="0" applyFont="1" applyFill="1" applyBorder="1"/>
    <xf numFmtId="0" fontId="81" fillId="37" borderId="0" xfId="0" applyFont="1" applyFill="1" applyBorder="1" applyAlignment="1">
      <alignment horizontal="center" vertical="center"/>
    </xf>
    <xf numFmtId="0" fontId="72" fillId="37" borderId="28" xfId="0" applyFont="1" applyFill="1" applyBorder="1"/>
    <xf numFmtId="1" fontId="84" fillId="37" borderId="21" xfId="0" applyNumberFormat="1" applyFont="1" applyFill="1" applyBorder="1" applyAlignment="1">
      <alignment horizontal="left" vertical="center" wrapText="1"/>
    </xf>
    <xf numFmtId="1" fontId="84" fillId="37" borderId="0" xfId="0" applyNumberFormat="1" applyFont="1" applyFill="1" applyBorder="1" applyAlignment="1">
      <alignment horizontal="left" vertical="center" wrapText="1"/>
    </xf>
    <xf numFmtId="1" fontId="84" fillId="37" borderId="27" xfId="0" applyNumberFormat="1" applyFont="1" applyFill="1" applyBorder="1" applyAlignment="1">
      <alignment horizontal="left" vertical="center" wrapText="1"/>
    </xf>
    <xf numFmtId="1" fontId="84" fillId="37" borderId="21" xfId="0" applyNumberFormat="1" applyFont="1" applyFill="1" applyBorder="1" applyAlignment="1">
      <alignment horizontal="left" vertical="center"/>
    </xf>
    <xf numFmtId="1" fontId="84" fillId="37" borderId="0" xfId="0" applyNumberFormat="1" applyFont="1" applyFill="1" applyBorder="1" applyAlignment="1">
      <alignment horizontal="left" vertical="center"/>
    </xf>
    <xf numFmtId="1" fontId="84" fillId="37" borderId="27" xfId="0" applyNumberFormat="1" applyFont="1" applyFill="1" applyBorder="1" applyAlignment="1">
      <alignment horizontal="left" vertical="center"/>
    </xf>
    <xf numFmtId="1" fontId="84" fillId="37" borderId="30" xfId="0" applyNumberFormat="1" applyFont="1" applyFill="1" applyBorder="1" applyAlignment="1">
      <alignment horizontal="left" vertical="center"/>
    </xf>
    <xf numFmtId="0" fontId="84" fillId="37" borderId="31" xfId="0" applyFont="1" applyFill="1" applyBorder="1" applyAlignment="1">
      <alignment vertical="center"/>
    </xf>
    <xf numFmtId="1" fontId="84" fillId="37" borderId="31" xfId="0" applyNumberFormat="1" applyFont="1" applyFill="1" applyBorder="1" applyAlignment="1">
      <alignment horizontal="left" vertical="center"/>
    </xf>
    <xf numFmtId="0" fontId="84" fillId="37" borderId="32" xfId="0" applyFont="1" applyFill="1" applyBorder="1" applyAlignment="1">
      <alignment vertical="center"/>
    </xf>
    <xf numFmtId="0" fontId="84" fillId="37" borderId="0" xfId="0" applyFont="1" applyFill="1" applyBorder="1" applyAlignment="1">
      <alignment vertical="center"/>
    </xf>
    <xf numFmtId="0" fontId="84" fillId="37" borderId="27" xfId="0" applyFont="1" applyFill="1" applyBorder="1" applyAlignment="1">
      <alignment vertical="center"/>
    </xf>
    <xf numFmtId="0" fontId="11" fillId="37" borderId="24" xfId="0" applyFont="1" applyFill="1" applyBorder="1" applyAlignment="1">
      <alignment horizontal="left" vertical="center" wrapText="1"/>
    </xf>
    <xf numFmtId="0" fontId="11" fillId="37" borderId="25" xfId="0" applyFont="1" applyFill="1" applyBorder="1" applyAlignment="1">
      <alignment horizontal="left" vertical="center" wrapText="1"/>
    </xf>
    <xf numFmtId="0" fontId="11" fillId="37" borderId="26" xfId="0" applyFont="1" applyFill="1" applyBorder="1" applyAlignment="1">
      <alignment horizontal="left" vertical="center" wrapText="1"/>
    </xf>
    <xf numFmtId="0" fontId="6" fillId="37" borderId="24" xfId="0" applyFont="1" applyFill="1" applyBorder="1" applyAlignment="1">
      <alignment horizontal="left" vertical="center"/>
    </xf>
    <xf numFmtId="0" fontId="6" fillId="37" borderId="25" xfId="0" applyFont="1" applyFill="1" applyBorder="1" applyAlignment="1">
      <alignment horizontal="left" vertical="center"/>
    </xf>
    <xf numFmtId="0" fontId="6" fillId="37" borderId="26" xfId="0" applyFont="1" applyFill="1" applyBorder="1" applyAlignment="1">
      <alignment horizontal="left" vertical="center"/>
    </xf>
    <xf numFmtId="3" fontId="6" fillId="37" borderId="23" xfId="0" applyNumberFormat="1" applyFont="1" applyFill="1" applyBorder="1" applyAlignment="1">
      <alignment horizontal="center" vertical="center"/>
    </xf>
    <xf numFmtId="3" fontId="6" fillId="37" borderId="37" xfId="0" applyNumberFormat="1" applyFont="1" applyFill="1" applyBorder="1" applyAlignment="1">
      <alignment horizontal="left" vertical="center"/>
    </xf>
    <xf numFmtId="3" fontId="6" fillId="37" borderId="36" xfId="0" applyNumberFormat="1" applyFont="1" applyFill="1" applyBorder="1" applyAlignment="1">
      <alignment horizontal="left" vertical="center"/>
    </xf>
    <xf numFmtId="3" fontId="6" fillId="37" borderId="71" xfId="0" applyNumberFormat="1" applyFont="1" applyFill="1" applyBorder="1" applyAlignment="1">
      <alignment horizontal="center" vertical="center"/>
    </xf>
    <xf numFmtId="3" fontId="6" fillId="37" borderId="57" xfId="0" applyNumberFormat="1" applyFont="1" applyFill="1" applyBorder="1" applyAlignment="1">
      <alignment horizontal="center" vertical="center"/>
    </xf>
    <xf numFmtId="3" fontId="6" fillId="37" borderId="42" xfId="0" applyNumberFormat="1" applyFont="1" applyFill="1" applyBorder="1" applyAlignment="1">
      <alignment horizontal="center" vertical="center"/>
    </xf>
    <xf numFmtId="3" fontId="61" fillId="37" borderId="24" xfId="0" applyNumberFormat="1" applyFont="1" applyFill="1" applyBorder="1" applyAlignment="1">
      <alignment horizontal="center" vertical="center"/>
    </xf>
    <xf numFmtId="3" fontId="61" fillId="37" borderId="25" xfId="0" applyNumberFormat="1" applyFont="1" applyFill="1" applyBorder="1" applyAlignment="1">
      <alignment horizontal="center" vertical="center"/>
    </xf>
    <xf numFmtId="3" fontId="61" fillId="37" borderId="26" xfId="0" applyNumberFormat="1" applyFont="1" applyFill="1" applyBorder="1" applyAlignment="1">
      <alignment horizontal="center" vertical="center"/>
    </xf>
    <xf numFmtId="3" fontId="6" fillId="37" borderId="37" xfId="0" applyNumberFormat="1" applyFont="1" applyFill="1" applyBorder="1" applyAlignment="1">
      <alignment horizontal="center" vertical="center"/>
    </xf>
    <xf numFmtId="3" fontId="6" fillId="37" borderId="36" xfId="0" applyNumberFormat="1" applyFont="1" applyFill="1" applyBorder="1" applyAlignment="1">
      <alignment horizontal="center" vertical="center"/>
    </xf>
    <xf numFmtId="3" fontId="6" fillId="37" borderId="37" xfId="0" applyNumberFormat="1" applyFont="1" applyFill="1" applyBorder="1" applyAlignment="1">
      <alignment horizontal="center" vertical="center" wrapText="1"/>
    </xf>
    <xf numFmtId="0" fontId="6" fillId="37" borderId="36" xfId="0" applyFont="1" applyFill="1" applyBorder="1" applyAlignment="1">
      <alignment horizontal="center" vertical="center" wrapText="1"/>
    </xf>
    <xf numFmtId="3" fontId="6" fillId="37" borderId="44" xfId="0" applyNumberFormat="1" applyFont="1" applyFill="1" applyBorder="1" applyAlignment="1">
      <alignment horizontal="center" vertical="center"/>
    </xf>
    <xf numFmtId="3" fontId="6" fillId="37" borderId="54" xfId="0" applyNumberFormat="1" applyFont="1" applyFill="1" applyBorder="1" applyAlignment="1">
      <alignment horizontal="center" vertical="center"/>
    </xf>
    <xf numFmtId="3" fontId="6" fillId="37" borderId="67" xfId="0" applyNumberFormat="1" applyFont="1" applyFill="1" applyBorder="1" applyAlignment="1">
      <alignment horizontal="center" vertical="center"/>
    </xf>
    <xf numFmtId="3" fontId="6" fillId="37" borderId="44" xfId="0" applyNumberFormat="1" applyFont="1" applyFill="1" applyBorder="1" applyAlignment="1">
      <alignment horizontal="center" vertical="center" wrapText="1"/>
    </xf>
    <xf numFmtId="3" fontId="6" fillId="37" borderId="54" xfId="0" applyNumberFormat="1" applyFont="1" applyFill="1" applyBorder="1" applyAlignment="1">
      <alignment horizontal="center" vertical="center" wrapText="1"/>
    </xf>
    <xf numFmtId="3" fontId="6" fillId="37" borderId="67" xfId="0" applyNumberFormat="1" applyFont="1" applyFill="1" applyBorder="1" applyAlignment="1">
      <alignment horizontal="center" vertical="center" wrapText="1"/>
    </xf>
  </cellXfs>
  <cellStyles count="920">
    <cellStyle name=" 1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 2" xfId="8" xr:uid="{00000000-0005-0000-0000-000007000000}"/>
    <cellStyle name="20% - Ênfase1 2 2" xfId="9" xr:uid="{00000000-0005-0000-0000-000008000000}"/>
    <cellStyle name="20% - Ênfase1 2 3" xfId="10" xr:uid="{00000000-0005-0000-0000-000009000000}"/>
    <cellStyle name="20% - Ênfase1 2 4" xfId="11" xr:uid="{00000000-0005-0000-0000-00000A000000}"/>
    <cellStyle name="20% - Ênfase1 2_Compo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1 5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 4" xfId="19" xr:uid="{00000000-0005-0000-0000-000012000000}"/>
    <cellStyle name="20% - Ênfase2 2_Compo" xfId="20" xr:uid="{00000000-0005-0000-0000-000013000000}"/>
    <cellStyle name="20% - Ênfase2 3" xfId="21" xr:uid="{00000000-0005-0000-0000-000014000000}"/>
    <cellStyle name="20% - Ênfase2 4" xfId="22" xr:uid="{00000000-0005-0000-0000-000015000000}"/>
    <cellStyle name="20% - Ênfase2 5" xfId="23" xr:uid="{00000000-0005-0000-0000-000016000000}"/>
    <cellStyle name="20% - Ênfase3 2" xfId="24" xr:uid="{00000000-0005-0000-0000-000017000000}"/>
    <cellStyle name="20% - Ênfase3 2 2" xfId="25" xr:uid="{00000000-0005-0000-0000-000018000000}"/>
    <cellStyle name="20% - Ênfase3 2 3" xfId="26" xr:uid="{00000000-0005-0000-0000-000019000000}"/>
    <cellStyle name="20% - Ênfase3 2 4" xfId="27" xr:uid="{00000000-0005-0000-0000-00001A000000}"/>
    <cellStyle name="20% - Ênfase3 2_Compo" xfId="28" xr:uid="{00000000-0005-0000-0000-00001B000000}"/>
    <cellStyle name="20% - Ênfase3 3" xfId="29" xr:uid="{00000000-0005-0000-0000-00001C000000}"/>
    <cellStyle name="20% - Ênfase3 4" xfId="30" xr:uid="{00000000-0005-0000-0000-00001D000000}"/>
    <cellStyle name="20% - Ênfase3 5" xfId="31" xr:uid="{00000000-0005-0000-0000-00001E000000}"/>
    <cellStyle name="20% - Ênfase4 2" xfId="32" xr:uid="{00000000-0005-0000-0000-00001F000000}"/>
    <cellStyle name="20% - Ênfase4 2 2" xfId="33" xr:uid="{00000000-0005-0000-0000-000020000000}"/>
    <cellStyle name="20% - Ênfase4 2 3" xfId="34" xr:uid="{00000000-0005-0000-0000-000021000000}"/>
    <cellStyle name="20% - Ênfase4 2 4" xfId="35" xr:uid="{00000000-0005-0000-0000-000022000000}"/>
    <cellStyle name="20% - Ênfase4 2_Compo" xfId="36" xr:uid="{00000000-0005-0000-0000-000023000000}"/>
    <cellStyle name="20% - Ênfase4 3" xfId="37" xr:uid="{00000000-0005-0000-0000-000024000000}"/>
    <cellStyle name="20% - Ênfase4 4" xfId="38" xr:uid="{00000000-0005-0000-0000-000025000000}"/>
    <cellStyle name="20% - Ênfase4 5" xfId="39" xr:uid="{00000000-0005-0000-0000-000026000000}"/>
    <cellStyle name="20% - Ênfase5 2" xfId="40" xr:uid="{00000000-0005-0000-0000-000027000000}"/>
    <cellStyle name="20% - Ênfase5 2 2" xfId="41" xr:uid="{00000000-0005-0000-0000-000028000000}"/>
    <cellStyle name="20% - Ênfase5 2 3" xfId="42" xr:uid="{00000000-0005-0000-0000-000029000000}"/>
    <cellStyle name="20% - Ênfase5 2 4" xfId="43" xr:uid="{00000000-0005-0000-0000-00002A000000}"/>
    <cellStyle name="20% - Ênfase5 2_Compo" xfId="44" xr:uid="{00000000-0005-0000-0000-00002B000000}"/>
    <cellStyle name="20% - Ênfase5 3" xfId="45" xr:uid="{00000000-0005-0000-0000-00002C000000}"/>
    <cellStyle name="20% - Ênfase5 4" xfId="46" xr:uid="{00000000-0005-0000-0000-00002D000000}"/>
    <cellStyle name="20% - Ênfase5 5" xfId="47" xr:uid="{00000000-0005-0000-0000-00002E000000}"/>
    <cellStyle name="20% - Ênfase6 2" xfId="48" xr:uid="{00000000-0005-0000-0000-00002F000000}"/>
    <cellStyle name="20% - Ênfase6 2 2" xfId="49" xr:uid="{00000000-0005-0000-0000-000030000000}"/>
    <cellStyle name="20% - Ênfase6 2 3" xfId="50" xr:uid="{00000000-0005-0000-0000-000031000000}"/>
    <cellStyle name="20% - Ênfase6 2 4" xfId="51" xr:uid="{00000000-0005-0000-0000-000032000000}"/>
    <cellStyle name="20% - Ênfase6 2_Compo" xfId="52" xr:uid="{00000000-0005-0000-0000-000033000000}"/>
    <cellStyle name="20% - Ênfase6 3" xfId="53" xr:uid="{00000000-0005-0000-0000-000034000000}"/>
    <cellStyle name="20% - Ênfase6 4" xfId="54" xr:uid="{00000000-0005-0000-0000-000035000000}"/>
    <cellStyle name="20% - Ênfase6 5" xfId="55" xr:uid="{00000000-0005-0000-0000-000036000000}"/>
    <cellStyle name="40% - Accent1" xfId="56" xr:uid="{00000000-0005-0000-0000-000037000000}"/>
    <cellStyle name="40% - Accent2" xfId="57" xr:uid="{00000000-0005-0000-0000-000038000000}"/>
    <cellStyle name="40% - Accent3" xfId="58" xr:uid="{00000000-0005-0000-0000-000039000000}"/>
    <cellStyle name="40% - Accent4" xfId="59" xr:uid="{00000000-0005-0000-0000-00003A000000}"/>
    <cellStyle name="40% - Accent5" xfId="60" xr:uid="{00000000-0005-0000-0000-00003B000000}"/>
    <cellStyle name="40% - Accent6" xfId="61" xr:uid="{00000000-0005-0000-0000-00003C000000}"/>
    <cellStyle name="40% - Ênfase1 2" xfId="62" xr:uid="{00000000-0005-0000-0000-00003D000000}"/>
    <cellStyle name="40% - Ênfase1 2 2" xfId="63" xr:uid="{00000000-0005-0000-0000-00003E000000}"/>
    <cellStyle name="40% - Ênfase1 2 3" xfId="64" xr:uid="{00000000-0005-0000-0000-00003F000000}"/>
    <cellStyle name="40% - Ênfase1 2 4" xfId="65" xr:uid="{00000000-0005-0000-0000-000040000000}"/>
    <cellStyle name="40% - Ênfase1 2_Compo" xfId="66" xr:uid="{00000000-0005-0000-0000-000041000000}"/>
    <cellStyle name="40% - Ênfase1 3" xfId="67" xr:uid="{00000000-0005-0000-0000-000042000000}"/>
    <cellStyle name="40% - Ênfase1 4" xfId="68" xr:uid="{00000000-0005-0000-0000-000043000000}"/>
    <cellStyle name="40% - Ênfase1 5" xfId="69" xr:uid="{00000000-0005-0000-0000-000044000000}"/>
    <cellStyle name="40% - Ênfase2 2" xfId="70" xr:uid="{00000000-0005-0000-0000-000045000000}"/>
    <cellStyle name="40% - Ênfase2 2 2" xfId="71" xr:uid="{00000000-0005-0000-0000-000046000000}"/>
    <cellStyle name="40% - Ênfase2 2 3" xfId="72" xr:uid="{00000000-0005-0000-0000-000047000000}"/>
    <cellStyle name="40% - Ênfase2 2 4" xfId="73" xr:uid="{00000000-0005-0000-0000-000048000000}"/>
    <cellStyle name="40% - Ênfase2 2_Compo" xfId="74" xr:uid="{00000000-0005-0000-0000-000049000000}"/>
    <cellStyle name="40% - Ênfase2 3" xfId="75" xr:uid="{00000000-0005-0000-0000-00004A000000}"/>
    <cellStyle name="40% - Ênfase2 4" xfId="76" xr:uid="{00000000-0005-0000-0000-00004B000000}"/>
    <cellStyle name="40% - Ênfase2 5" xfId="77" xr:uid="{00000000-0005-0000-0000-00004C000000}"/>
    <cellStyle name="40% - Ênfase3 2" xfId="78" xr:uid="{00000000-0005-0000-0000-00004D000000}"/>
    <cellStyle name="40% - Ênfase3 2 2" xfId="79" xr:uid="{00000000-0005-0000-0000-00004E000000}"/>
    <cellStyle name="40% - Ênfase3 2 3" xfId="80" xr:uid="{00000000-0005-0000-0000-00004F000000}"/>
    <cellStyle name="40% - Ênfase3 2 4" xfId="81" xr:uid="{00000000-0005-0000-0000-000050000000}"/>
    <cellStyle name="40% - Ênfase3 2_Compo" xfId="82" xr:uid="{00000000-0005-0000-0000-000051000000}"/>
    <cellStyle name="40% - Ênfase3 3" xfId="83" xr:uid="{00000000-0005-0000-0000-000052000000}"/>
    <cellStyle name="40% - Ênfase3 4" xfId="84" xr:uid="{00000000-0005-0000-0000-000053000000}"/>
    <cellStyle name="40% - Ênfase3 5" xfId="85" xr:uid="{00000000-0005-0000-0000-000054000000}"/>
    <cellStyle name="40% - Ênfase4 2" xfId="86" xr:uid="{00000000-0005-0000-0000-000055000000}"/>
    <cellStyle name="40% - Ênfase4 2 2" xfId="87" xr:uid="{00000000-0005-0000-0000-000056000000}"/>
    <cellStyle name="40% - Ênfase4 2 3" xfId="88" xr:uid="{00000000-0005-0000-0000-000057000000}"/>
    <cellStyle name="40% - Ênfase4 2 4" xfId="89" xr:uid="{00000000-0005-0000-0000-000058000000}"/>
    <cellStyle name="40% - Ênfase4 2_Compo" xfId="90" xr:uid="{00000000-0005-0000-0000-000059000000}"/>
    <cellStyle name="40% - Ênfase4 3" xfId="91" xr:uid="{00000000-0005-0000-0000-00005A000000}"/>
    <cellStyle name="40% - Ênfase4 4" xfId="92" xr:uid="{00000000-0005-0000-0000-00005B000000}"/>
    <cellStyle name="40% - Ênfase4 5" xfId="93" xr:uid="{00000000-0005-0000-0000-00005C000000}"/>
    <cellStyle name="40% - Ênfase5 2" xfId="94" xr:uid="{00000000-0005-0000-0000-00005D000000}"/>
    <cellStyle name="40% - Ênfase5 2 2" xfId="95" xr:uid="{00000000-0005-0000-0000-00005E000000}"/>
    <cellStyle name="40% - Ênfase5 2 3" xfId="96" xr:uid="{00000000-0005-0000-0000-00005F000000}"/>
    <cellStyle name="40% - Ênfase5 2 4" xfId="97" xr:uid="{00000000-0005-0000-0000-000060000000}"/>
    <cellStyle name="40% - Ênfase5 2_Compo" xfId="98" xr:uid="{00000000-0005-0000-0000-000061000000}"/>
    <cellStyle name="40% - Ênfase5 3" xfId="99" xr:uid="{00000000-0005-0000-0000-000062000000}"/>
    <cellStyle name="40% - Ênfase5 4" xfId="100" xr:uid="{00000000-0005-0000-0000-000063000000}"/>
    <cellStyle name="40% - Ênfase5 5" xfId="101" xr:uid="{00000000-0005-0000-0000-000064000000}"/>
    <cellStyle name="40% - Ênfase6 2" xfId="102" xr:uid="{00000000-0005-0000-0000-000065000000}"/>
    <cellStyle name="40% - Ênfase6 2 2" xfId="103" xr:uid="{00000000-0005-0000-0000-000066000000}"/>
    <cellStyle name="40% - Ênfase6 2 3" xfId="104" xr:uid="{00000000-0005-0000-0000-000067000000}"/>
    <cellStyle name="40% - Ênfase6 2 4" xfId="105" xr:uid="{00000000-0005-0000-0000-000068000000}"/>
    <cellStyle name="40% - Ênfase6 2_Compo" xfId="106" xr:uid="{00000000-0005-0000-0000-000069000000}"/>
    <cellStyle name="40% - Ênfase6 3" xfId="107" xr:uid="{00000000-0005-0000-0000-00006A000000}"/>
    <cellStyle name="40% - Ênfase6 4" xfId="108" xr:uid="{00000000-0005-0000-0000-00006B000000}"/>
    <cellStyle name="40% - Ênfase6 5" xfId="109" xr:uid="{00000000-0005-0000-0000-00006C000000}"/>
    <cellStyle name="60% - Accent1" xfId="110" xr:uid="{00000000-0005-0000-0000-00006D000000}"/>
    <cellStyle name="60% - Accent2" xfId="111" xr:uid="{00000000-0005-0000-0000-00006E000000}"/>
    <cellStyle name="60% - Accent3" xfId="112" xr:uid="{00000000-0005-0000-0000-00006F000000}"/>
    <cellStyle name="60% - Accent4" xfId="113" xr:uid="{00000000-0005-0000-0000-000070000000}"/>
    <cellStyle name="60% - Accent5" xfId="114" xr:uid="{00000000-0005-0000-0000-000071000000}"/>
    <cellStyle name="60% - Accent6" xfId="115" xr:uid="{00000000-0005-0000-0000-000072000000}"/>
    <cellStyle name="60% - Ênfase1 2" xfId="116" xr:uid="{00000000-0005-0000-0000-000073000000}"/>
    <cellStyle name="60% - Ênfase1 2 2" xfId="117" xr:uid="{00000000-0005-0000-0000-000074000000}"/>
    <cellStyle name="60% - Ênfase1 2 3" xfId="118" xr:uid="{00000000-0005-0000-0000-000075000000}"/>
    <cellStyle name="60% - Ênfase1 2_ORÇAMENTO - FORUM DE V. GRANDE" xfId="119" xr:uid="{00000000-0005-0000-0000-000076000000}"/>
    <cellStyle name="60% - Ênfase1 3" xfId="120" xr:uid="{00000000-0005-0000-0000-000077000000}"/>
    <cellStyle name="60% - Ênfase1 4" xfId="121" xr:uid="{00000000-0005-0000-0000-000078000000}"/>
    <cellStyle name="60% - Ênfase1 5" xfId="122" xr:uid="{00000000-0005-0000-0000-000079000000}"/>
    <cellStyle name="60% - Ênfase1 6" xfId="123" xr:uid="{00000000-0005-0000-0000-00007A000000}"/>
    <cellStyle name="60% - Ênfase2 2" xfId="124" xr:uid="{00000000-0005-0000-0000-00007B000000}"/>
    <cellStyle name="60% - Ênfase2 2 2" xfId="125" xr:uid="{00000000-0005-0000-0000-00007C000000}"/>
    <cellStyle name="60% - Ênfase2 2 3" xfId="126" xr:uid="{00000000-0005-0000-0000-00007D000000}"/>
    <cellStyle name="60% - Ênfase2 2_ORÇAMENTO - FORUM DE V. GRANDE" xfId="127" xr:uid="{00000000-0005-0000-0000-00007E000000}"/>
    <cellStyle name="60% - Ênfase2 3" xfId="128" xr:uid="{00000000-0005-0000-0000-00007F000000}"/>
    <cellStyle name="60% - Ênfase2 4" xfId="129" xr:uid="{00000000-0005-0000-0000-000080000000}"/>
    <cellStyle name="60% - Ênfase2 5" xfId="130" xr:uid="{00000000-0005-0000-0000-000081000000}"/>
    <cellStyle name="60% - Ênfase2 6" xfId="131" xr:uid="{00000000-0005-0000-0000-000082000000}"/>
    <cellStyle name="60% - Ênfase3 2" xfId="132" xr:uid="{00000000-0005-0000-0000-000083000000}"/>
    <cellStyle name="60% - Ênfase3 2 2" xfId="133" xr:uid="{00000000-0005-0000-0000-000084000000}"/>
    <cellStyle name="60% - Ênfase3 2 3" xfId="134" xr:uid="{00000000-0005-0000-0000-000085000000}"/>
    <cellStyle name="60% - Ênfase3 2_ORÇAMENTO - FORUM DE V. GRANDE" xfId="135" xr:uid="{00000000-0005-0000-0000-000086000000}"/>
    <cellStyle name="60% - Ênfase3 3" xfId="136" xr:uid="{00000000-0005-0000-0000-000087000000}"/>
    <cellStyle name="60% - Ênfase3 4" xfId="137" xr:uid="{00000000-0005-0000-0000-000088000000}"/>
    <cellStyle name="60% - Ênfase3 5" xfId="138" xr:uid="{00000000-0005-0000-0000-000089000000}"/>
    <cellStyle name="60% - Ênfase3 6" xfId="139" xr:uid="{00000000-0005-0000-0000-00008A000000}"/>
    <cellStyle name="60% - Ênfase4 2" xfId="140" xr:uid="{00000000-0005-0000-0000-00008B000000}"/>
    <cellStyle name="60% - Ênfase4 2 2" xfId="141" xr:uid="{00000000-0005-0000-0000-00008C000000}"/>
    <cellStyle name="60% - Ênfase4 2 3" xfId="142" xr:uid="{00000000-0005-0000-0000-00008D000000}"/>
    <cellStyle name="60% - Ênfase4 2_ORÇAMENTO - FORUM DE V. GRANDE" xfId="143" xr:uid="{00000000-0005-0000-0000-00008E000000}"/>
    <cellStyle name="60% - Ênfase4 3" xfId="144" xr:uid="{00000000-0005-0000-0000-00008F000000}"/>
    <cellStyle name="60% - Ênfase4 4" xfId="145" xr:uid="{00000000-0005-0000-0000-000090000000}"/>
    <cellStyle name="60% - Ênfase4 5" xfId="146" xr:uid="{00000000-0005-0000-0000-000091000000}"/>
    <cellStyle name="60% - Ênfase4 6" xfId="147" xr:uid="{00000000-0005-0000-0000-000092000000}"/>
    <cellStyle name="60% - Ênfase5 2" xfId="148" xr:uid="{00000000-0005-0000-0000-000093000000}"/>
    <cellStyle name="60% - Ênfase5 2 2" xfId="149" xr:uid="{00000000-0005-0000-0000-000094000000}"/>
    <cellStyle name="60% - Ênfase5 2 3" xfId="150" xr:uid="{00000000-0005-0000-0000-000095000000}"/>
    <cellStyle name="60% - Ênfase5 2_ORÇAMENTO - FORUM DE V. GRANDE" xfId="151" xr:uid="{00000000-0005-0000-0000-000096000000}"/>
    <cellStyle name="60% - Ênfase5 3" xfId="152" xr:uid="{00000000-0005-0000-0000-000097000000}"/>
    <cellStyle name="60% - Ênfase5 4" xfId="153" xr:uid="{00000000-0005-0000-0000-000098000000}"/>
    <cellStyle name="60% - Ênfase5 5" xfId="154" xr:uid="{00000000-0005-0000-0000-000099000000}"/>
    <cellStyle name="60% - Ênfase5 6" xfId="155" xr:uid="{00000000-0005-0000-0000-00009A000000}"/>
    <cellStyle name="60% - Ênfase6 2" xfId="156" xr:uid="{00000000-0005-0000-0000-00009B000000}"/>
    <cellStyle name="60% - Ênfase6 2 2" xfId="157" xr:uid="{00000000-0005-0000-0000-00009C000000}"/>
    <cellStyle name="60% - Ênfase6 2 3" xfId="158" xr:uid="{00000000-0005-0000-0000-00009D000000}"/>
    <cellStyle name="60% - Ênfase6 2_ORÇAMENTO - FORUM DE V. GRANDE" xfId="159" xr:uid="{00000000-0005-0000-0000-00009E000000}"/>
    <cellStyle name="60% - Ênfase6 3" xfId="160" xr:uid="{00000000-0005-0000-0000-00009F000000}"/>
    <cellStyle name="60% - Ênfase6 4" xfId="161" xr:uid="{00000000-0005-0000-0000-0000A0000000}"/>
    <cellStyle name="60% - Ênfase6 5" xfId="162" xr:uid="{00000000-0005-0000-0000-0000A1000000}"/>
    <cellStyle name="60% - Ênfase6 6" xfId="163" xr:uid="{00000000-0005-0000-0000-0000A2000000}"/>
    <cellStyle name="Accent1" xfId="164" xr:uid="{00000000-0005-0000-0000-0000A3000000}"/>
    <cellStyle name="Accent2" xfId="165" xr:uid="{00000000-0005-0000-0000-0000A4000000}"/>
    <cellStyle name="Accent3" xfId="166" xr:uid="{00000000-0005-0000-0000-0000A5000000}"/>
    <cellStyle name="Accent4" xfId="167" xr:uid="{00000000-0005-0000-0000-0000A6000000}"/>
    <cellStyle name="Accent5" xfId="168" xr:uid="{00000000-0005-0000-0000-0000A7000000}"/>
    <cellStyle name="Accent6" xfId="169" xr:uid="{00000000-0005-0000-0000-0000A8000000}"/>
    <cellStyle name="Bad" xfId="170" xr:uid="{00000000-0005-0000-0000-0000A9000000}"/>
    <cellStyle name="Bom 2" xfId="171" xr:uid="{00000000-0005-0000-0000-0000AA000000}"/>
    <cellStyle name="Bom 2 2" xfId="172" xr:uid="{00000000-0005-0000-0000-0000AB000000}"/>
    <cellStyle name="Bom 2 3" xfId="173" xr:uid="{00000000-0005-0000-0000-0000AC000000}"/>
    <cellStyle name="Bom 2_ORÇAMENTO - FORUM DE V. GRANDE" xfId="174" xr:uid="{00000000-0005-0000-0000-0000AD000000}"/>
    <cellStyle name="Bom 3" xfId="175" xr:uid="{00000000-0005-0000-0000-0000AE000000}"/>
    <cellStyle name="Bom 4" xfId="176" xr:uid="{00000000-0005-0000-0000-0000AF000000}"/>
    <cellStyle name="Bom 5" xfId="177" xr:uid="{00000000-0005-0000-0000-0000B0000000}"/>
    <cellStyle name="Bom 6" xfId="178" xr:uid="{00000000-0005-0000-0000-0000B1000000}"/>
    <cellStyle name="Calculation" xfId="179" xr:uid="{00000000-0005-0000-0000-0000B2000000}"/>
    <cellStyle name="Cálculo 2" xfId="180" xr:uid="{00000000-0005-0000-0000-0000B3000000}"/>
    <cellStyle name="Cálculo 2 2" xfId="181" xr:uid="{00000000-0005-0000-0000-0000B4000000}"/>
    <cellStyle name="Cálculo 2 3" xfId="182" xr:uid="{00000000-0005-0000-0000-0000B5000000}"/>
    <cellStyle name="Cálculo 2_CIVIL- BL 1-2-3-4-5-6-7-8 " xfId="183" xr:uid="{00000000-0005-0000-0000-0000B6000000}"/>
    <cellStyle name="Cálculo 3" xfId="184" xr:uid="{00000000-0005-0000-0000-0000B7000000}"/>
    <cellStyle name="Cálculo 4" xfId="185" xr:uid="{00000000-0005-0000-0000-0000B8000000}"/>
    <cellStyle name="Cálculo 5" xfId="186" xr:uid="{00000000-0005-0000-0000-0000B9000000}"/>
    <cellStyle name="Cálculo 6" xfId="187" xr:uid="{00000000-0005-0000-0000-0000BA000000}"/>
    <cellStyle name="Cancel" xfId="188" xr:uid="{00000000-0005-0000-0000-0000BB000000}"/>
    <cellStyle name="Célula de Verificação 2" xfId="189" xr:uid="{00000000-0005-0000-0000-0000BC000000}"/>
    <cellStyle name="Célula de Verificação 2 2" xfId="190" xr:uid="{00000000-0005-0000-0000-0000BD000000}"/>
    <cellStyle name="Célula de Verificação 2 3" xfId="191" xr:uid="{00000000-0005-0000-0000-0000BE000000}"/>
    <cellStyle name="Célula de Verificação 2_CIVIL- BL 1-2-3-4-5-6-7-8 " xfId="192" xr:uid="{00000000-0005-0000-0000-0000BF000000}"/>
    <cellStyle name="Célula de Verificação 3" xfId="193" xr:uid="{00000000-0005-0000-0000-0000C0000000}"/>
    <cellStyle name="Célula de Verificação 4" xfId="194" xr:uid="{00000000-0005-0000-0000-0000C1000000}"/>
    <cellStyle name="Célula de Verificação 5" xfId="195" xr:uid="{00000000-0005-0000-0000-0000C2000000}"/>
    <cellStyle name="Célula de Verificação 6" xfId="196" xr:uid="{00000000-0005-0000-0000-0000C3000000}"/>
    <cellStyle name="Célula Vinculada 2" xfId="197" xr:uid="{00000000-0005-0000-0000-0000C4000000}"/>
    <cellStyle name="Célula Vinculada 2 2" xfId="198" xr:uid="{00000000-0005-0000-0000-0000C5000000}"/>
    <cellStyle name="Célula Vinculada 2 3" xfId="199" xr:uid="{00000000-0005-0000-0000-0000C6000000}"/>
    <cellStyle name="Célula Vinculada 2_CIVIL- BL 1-2-3-4-5-6-7-8 " xfId="200" xr:uid="{00000000-0005-0000-0000-0000C7000000}"/>
    <cellStyle name="Célula Vinculada 3" xfId="201" xr:uid="{00000000-0005-0000-0000-0000C8000000}"/>
    <cellStyle name="Célula Vinculada 4" xfId="202" xr:uid="{00000000-0005-0000-0000-0000C9000000}"/>
    <cellStyle name="Célula Vinculada 5" xfId="203" xr:uid="{00000000-0005-0000-0000-0000CA000000}"/>
    <cellStyle name="Célula Vinculada 6" xfId="204" xr:uid="{00000000-0005-0000-0000-0000CB000000}"/>
    <cellStyle name="Comma0" xfId="205" xr:uid="{00000000-0005-0000-0000-0000CC000000}"/>
    <cellStyle name="Currency0" xfId="206" xr:uid="{00000000-0005-0000-0000-0000CD000000}"/>
    <cellStyle name="Ênfase1 2" xfId="207" xr:uid="{00000000-0005-0000-0000-0000CE000000}"/>
    <cellStyle name="Ênfase1 2 2" xfId="208" xr:uid="{00000000-0005-0000-0000-0000CF000000}"/>
    <cellStyle name="Ênfase1 2 3" xfId="209" xr:uid="{00000000-0005-0000-0000-0000D0000000}"/>
    <cellStyle name="Ênfase1 2_ORÇAMENTO - FORUM DE V. GRANDE" xfId="210" xr:uid="{00000000-0005-0000-0000-0000D1000000}"/>
    <cellStyle name="Ênfase1 3" xfId="211" xr:uid="{00000000-0005-0000-0000-0000D2000000}"/>
    <cellStyle name="Ênfase1 4" xfId="212" xr:uid="{00000000-0005-0000-0000-0000D3000000}"/>
    <cellStyle name="Ênfase1 5" xfId="213" xr:uid="{00000000-0005-0000-0000-0000D4000000}"/>
    <cellStyle name="Ênfase1 6" xfId="214" xr:uid="{00000000-0005-0000-0000-0000D5000000}"/>
    <cellStyle name="Ênfase2 2" xfId="215" xr:uid="{00000000-0005-0000-0000-0000D6000000}"/>
    <cellStyle name="Ênfase2 2 2" xfId="216" xr:uid="{00000000-0005-0000-0000-0000D7000000}"/>
    <cellStyle name="Ênfase2 2 3" xfId="217" xr:uid="{00000000-0005-0000-0000-0000D8000000}"/>
    <cellStyle name="Ênfase2 2_ORÇAMENTO - FORUM DE V. GRANDE" xfId="218" xr:uid="{00000000-0005-0000-0000-0000D9000000}"/>
    <cellStyle name="Ênfase2 3" xfId="219" xr:uid="{00000000-0005-0000-0000-0000DA000000}"/>
    <cellStyle name="Ênfase2 4" xfId="220" xr:uid="{00000000-0005-0000-0000-0000DB000000}"/>
    <cellStyle name="Ênfase2 5" xfId="221" xr:uid="{00000000-0005-0000-0000-0000DC000000}"/>
    <cellStyle name="Ênfase2 6" xfId="222" xr:uid="{00000000-0005-0000-0000-0000DD000000}"/>
    <cellStyle name="Ênfase3 2" xfId="223" xr:uid="{00000000-0005-0000-0000-0000DE000000}"/>
    <cellStyle name="Ênfase3 2 2" xfId="224" xr:uid="{00000000-0005-0000-0000-0000DF000000}"/>
    <cellStyle name="Ênfase3 2 3" xfId="225" xr:uid="{00000000-0005-0000-0000-0000E0000000}"/>
    <cellStyle name="Ênfase3 2_ORÇAMENTO - FORUM DE V. GRANDE" xfId="226" xr:uid="{00000000-0005-0000-0000-0000E1000000}"/>
    <cellStyle name="Ênfase3 3" xfId="227" xr:uid="{00000000-0005-0000-0000-0000E2000000}"/>
    <cellStyle name="Ênfase3 4" xfId="228" xr:uid="{00000000-0005-0000-0000-0000E3000000}"/>
    <cellStyle name="Ênfase3 5" xfId="229" xr:uid="{00000000-0005-0000-0000-0000E4000000}"/>
    <cellStyle name="Ênfase3 6" xfId="230" xr:uid="{00000000-0005-0000-0000-0000E5000000}"/>
    <cellStyle name="Ênfase4 2" xfId="231" xr:uid="{00000000-0005-0000-0000-0000E6000000}"/>
    <cellStyle name="Ênfase4 2 2" xfId="232" xr:uid="{00000000-0005-0000-0000-0000E7000000}"/>
    <cellStyle name="Ênfase4 2 3" xfId="233" xr:uid="{00000000-0005-0000-0000-0000E8000000}"/>
    <cellStyle name="Ênfase4 2_ORÇAMENTO - FORUM DE V. GRANDE" xfId="234" xr:uid="{00000000-0005-0000-0000-0000E9000000}"/>
    <cellStyle name="Ênfase4 3" xfId="235" xr:uid="{00000000-0005-0000-0000-0000EA000000}"/>
    <cellStyle name="Ênfase4 4" xfId="236" xr:uid="{00000000-0005-0000-0000-0000EB000000}"/>
    <cellStyle name="Ênfase4 5" xfId="237" xr:uid="{00000000-0005-0000-0000-0000EC000000}"/>
    <cellStyle name="Ênfase4 6" xfId="238" xr:uid="{00000000-0005-0000-0000-0000ED000000}"/>
    <cellStyle name="Ênfase5 2" xfId="239" xr:uid="{00000000-0005-0000-0000-0000EE000000}"/>
    <cellStyle name="Ênfase5 2 2" xfId="240" xr:uid="{00000000-0005-0000-0000-0000EF000000}"/>
    <cellStyle name="Ênfase5 2 3" xfId="241" xr:uid="{00000000-0005-0000-0000-0000F0000000}"/>
    <cellStyle name="Ênfase5 2_ORÇAMENTO - FORUM DE V. GRANDE" xfId="242" xr:uid="{00000000-0005-0000-0000-0000F1000000}"/>
    <cellStyle name="Ênfase5 3" xfId="243" xr:uid="{00000000-0005-0000-0000-0000F2000000}"/>
    <cellStyle name="Ênfase5 4" xfId="244" xr:uid="{00000000-0005-0000-0000-0000F3000000}"/>
    <cellStyle name="Ênfase5 5" xfId="245" xr:uid="{00000000-0005-0000-0000-0000F4000000}"/>
    <cellStyle name="Ênfase5 6" xfId="246" xr:uid="{00000000-0005-0000-0000-0000F5000000}"/>
    <cellStyle name="Ênfase6 2" xfId="247" xr:uid="{00000000-0005-0000-0000-0000F6000000}"/>
    <cellStyle name="Ênfase6 2 2" xfId="248" xr:uid="{00000000-0005-0000-0000-0000F7000000}"/>
    <cellStyle name="Ênfase6 2 3" xfId="249" xr:uid="{00000000-0005-0000-0000-0000F8000000}"/>
    <cellStyle name="Ênfase6 2_ORÇAMENTO - FORUM DE V. GRANDE" xfId="250" xr:uid="{00000000-0005-0000-0000-0000F9000000}"/>
    <cellStyle name="Ênfase6 3" xfId="251" xr:uid="{00000000-0005-0000-0000-0000FA000000}"/>
    <cellStyle name="Ênfase6 4" xfId="252" xr:uid="{00000000-0005-0000-0000-0000FB000000}"/>
    <cellStyle name="Ênfase6 5" xfId="253" xr:uid="{00000000-0005-0000-0000-0000FC000000}"/>
    <cellStyle name="Ênfase6 6" xfId="254" xr:uid="{00000000-0005-0000-0000-0000FD000000}"/>
    <cellStyle name="Entrada 2" xfId="255" xr:uid="{00000000-0005-0000-0000-0000FE000000}"/>
    <cellStyle name="Entrada 2 2" xfId="256" xr:uid="{00000000-0005-0000-0000-0000FF000000}"/>
    <cellStyle name="Entrada 2 3" xfId="257" xr:uid="{00000000-0005-0000-0000-000000010000}"/>
    <cellStyle name="Entrada 2_CIVIL- BL 1-2-3-4-5-6-7-8 " xfId="258" xr:uid="{00000000-0005-0000-0000-000001010000}"/>
    <cellStyle name="Entrada 3" xfId="259" xr:uid="{00000000-0005-0000-0000-000002010000}"/>
    <cellStyle name="Entrada 4" xfId="260" xr:uid="{00000000-0005-0000-0000-000003010000}"/>
    <cellStyle name="Entrada 5" xfId="261" xr:uid="{00000000-0005-0000-0000-000004010000}"/>
    <cellStyle name="Entrada 6" xfId="262" xr:uid="{00000000-0005-0000-0000-000005010000}"/>
    <cellStyle name="Estilo 1" xfId="263" xr:uid="{00000000-0005-0000-0000-000006010000}"/>
    <cellStyle name="Euro" xfId="264" xr:uid="{00000000-0005-0000-0000-000007010000}"/>
    <cellStyle name="Euro 2" xfId="265" xr:uid="{00000000-0005-0000-0000-000008010000}"/>
    <cellStyle name="Euro 2 2" xfId="266" xr:uid="{00000000-0005-0000-0000-000009010000}"/>
    <cellStyle name="Euro 3" xfId="267" xr:uid="{00000000-0005-0000-0000-00000A010000}"/>
    <cellStyle name="Excel Built-in Normal" xfId="268" xr:uid="{00000000-0005-0000-0000-00000B010000}"/>
    <cellStyle name="Excel Built-in Normal 1 1" xfId="269" xr:uid="{00000000-0005-0000-0000-00000C010000}"/>
    <cellStyle name="Excel Built-in Normal 10 3" xfId="270" xr:uid="{00000000-0005-0000-0000-00000D010000}"/>
    <cellStyle name="Excel Built-in Vírgula 6" xfId="271" xr:uid="{00000000-0005-0000-0000-00000E010000}"/>
    <cellStyle name="Explanatory Text" xfId="272" xr:uid="{00000000-0005-0000-0000-00000F010000}"/>
    <cellStyle name="Heading 1" xfId="273" xr:uid="{00000000-0005-0000-0000-000010010000}"/>
    <cellStyle name="Heading 2" xfId="274" xr:uid="{00000000-0005-0000-0000-000011010000}"/>
    <cellStyle name="Heading 3" xfId="275" xr:uid="{00000000-0005-0000-0000-000012010000}"/>
    <cellStyle name="Heading 4" xfId="276" xr:uid="{00000000-0005-0000-0000-000013010000}"/>
    <cellStyle name="Hiperlink" xfId="277" builtinId="8"/>
    <cellStyle name="Hiperlink 2" xfId="278" xr:uid="{00000000-0005-0000-0000-000015010000}"/>
    <cellStyle name="Hyperlink 2" xfId="279" xr:uid="{00000000-0005-0000-0000-000016010000}"/>
    <cellStyle name="Incorreto 2" xfId="280" xr:uid="{00000000-0005-0000-0000-000017010000}"/>
    <cellStyle name="Incorreto 2 2" xfId="281" xr:uid="{00000000-0005-0000-0000-000018010000}"/>
    <cellStyle name="Incorreto 2 3" xfId="282" xr:uid="{00000000-0005-0000-0000-000019010000}"/>
    <cellStyle name="Incorreto 2_ORÇAMENTO - FORUM DE V. GRANDE" xfId="283" xr:uid="{00000000-0005-0000-0000-00001A010000}"/>
    <cellStyle name="Incorreto 3" xfId="284" xr:uid="{00000000-0005-0000-0000-00001B010000}"/>
    <cellStyle name="Incorreto 4" xfId="285" xr:uid="{00000000-0005-0000-0000-00001C010000}"/>
    <cellStyle name="Incorreto 5" xfId="286" xr:uid="{00000000-0005-0000-0000-00001D010000}"/>
    <cellStyle name="Incorreto 6" xfId="287" xr:uid="{00000000-0005-0000-0000-00001E010000}"/>
    <cellStyle name="Moeda" xfId="288" builtinId="4"/>
    <cellStyle name="Moeda 10" xfId="289" xr:uid="{00000000-0005-0000-0000-000020010000}"/>
    <cellStyle name="Moeda 11" xfId="290" xr:uid="{00000000-0005-0000-0000-000021010000}"/>
    <cellStyle name="Moeda 2" xfId="291" xr:uid="{00000000-0005-0000-0000-000022010000}"/>
    <cellStyle name="Moeda 2 2" xfId="292" xr:uid="{00000000-0005-0000-0000-000023010000}"/>
    <cellStyle name="Moeda 2 3" xfId="293" xr:uid="{00000000-0005-0000-0000-000024010000}"/>
    <cellStyle name="Moeda 2_ORÇAMENTO - FORUM DE V. GRANDE" xfId="294" xr:uid="{00000000-0005-0000-0000-000025010000}"/>
    <cellStyle name="Moeda 24" xfId="295" xr:uid="{00000000-0005-0000-0000-000026010000}"/>
    <cellStyle name="Moeda 3" xfId="296" xr:uid="{00000000-0005-0000-0000-000027010000}"/>
    <cellStyle name="Moeda 4" xfId="297" xr:uid="{00000000-0005-0000-0000-000028010000}"/>
    <cellStyle name="Moeda 5" xfId="298" xr:uid="{00000000-0005-0000-0000-000029010000}"/>
    <cellStyle name="Moeda 6" xfId="299" xr:uid="{00000000-0005-0000-0000-00002A010000}"/>
    <cellStyle name="Moeda 7" xfId="300" xr:uid="{00000000-0005-0000-0000-00002B010000}"/>
    <cellStyle name="Moeda 8" xfId="301" xr:uid="{00000000-0005-0000-0000-00002C010000}"/>
    <cellStyle name="Moeda 9" xfId="302" xr:uid="{00000000-0005-0000-0000-00002D010000}"/>
    <cellStyle name="Neutra 2" xfId="303" xr:uid="{00000000-0005-0000-0000-00002E010000}"/>
    <cellStyle name="Neutra 2 2" xfId="304" xr:uid="{00000000-0005-0000-0000-00002F010000}"/>
    <cellStyle name="Neutra 2 3" xfId="305" xr:uid="{00000000-0005-0000-0000-000030010000}"/>
    <cellStyle name="Neutra 2_ORÇAMENTO - FORUM DE V. GRANDE" xfId="306" xr:uid="{00000000-0005-0000-0000-000031010000}"/>
    <cellStyle name="Neutra 3" xfId="307" xr:uid="{00000000-0005-0000-0000-000032010000}"/>
    <cellStyle name="Neutra 4" xfId="308" xr:uid="{00000000-0005-0000-0000-000033010000}"/>
    <cellStyle name="Neutra 5" xfId="309" xr:uid="{00000000-0005-0000-0000-000034010000}"/>
    <cellStyle name="Neutra 6" xfId="310" xr:uid="{00000000-0005-0000-0000-000035010000}"/>
    <cellStyle name="Normal" xfId="0" builtinId="0"/>
    <cellStyle name="Normal 10" xfId="311" xr:uid="{00000000-0005-0000-0000-000037010000}"/>
    <cellStyle name="Normal 10 2" xfId="312" xr:uid="{00000000-0005-0000-0000-000038010000}"/>
    <cellStyle name="Normal 10_Compo-Civil" xfId="313" xr:uid="{00000000-0005-0000-0000-000039010000}"/>
    <cellStyle name="Normal 100" xfId="314" xr:uid="{00000000-0005-0000-0000-00003A010000}"/>
    <cellStyle name="Normal 101" xfId="315" xr:uid="{00000000-0005-0000-0000-00003B010000}"/>
    <cellStyle name="Normal 102" xfId="316" xr:uid="{00000000-0005-0000-0000-00003C010000}"/>
    <cellStyle name="Normal 103" xfId="317" xr:uid="{00000000-0005-0000-0000-00003D010000}"/>
    <cellStyle name="Normal 104" xfId="318" xr:uid="{00000000-0005-0000-0000-00003E010000}"/>
    <cellStyle name="Normal 105" xfId="319" xr:uid="{00000000-0005-0000-0000-00003F010000}"/>
    <cellStyle name="Normal 106" xfId="320" xr:uid="{00000000-0005-0000-0000-000040010000}"/>
    <cellStyle name="Normal 107" xfId="321" xr:uid="{00000000-0005-0000-0000-000041010000}"/>
    <cellStyle name="Normal 108" xfId="322" xr:uid="{00000000-0005-0000-0000-000042010000}"/>
    <cellStyle name="Normal 109" xfId="323" xr:uid="{00000000-0005-0000-0000-000043010000}"/>
    <cellStyle name="Normal 11" xfId="324" xr:uid="{00000000-0005-0000-0000-000044010000}"/>
    <cellStyle name="Normal 11 2" xfId="325" xr:uid="{00000000-0005-0000-0000-000045010000}"/>
    <cellStyle name="Normal 11_Compo-Civil" xfId="326" xr:uid="{00000000-0005-0000-0000-000046010000}"/>
    <cellStyle name="Normal 110" xfId="327" xr:uid="{00000000-0005-0000-0000-000047010000}"/>
    <cellStyle name="Normal 111" xfId="328" xr:uid="{00000000-0005-0000-0000-000048010000}"/>
    <cellStyle name="Normal 112" xfId="329" xr:uid="{00000000-0005-0000-0000-000049010000}"/>
    <cellStyle name="Normal 113" xfId="330" xr:uid="{00000000-0005-0000-0000-00004A010000}"/>
    <cellStyle name="Normal 114" xfId="331" xr:uid="{00000000-0005-0000-0000-00004B010000}"/>
    <cellStyle name="Normal 115" xfId="332" xr:uid="{00000000-0005-0000-0000-00004C010000}"/>
    <cellStyle name="Normal 116" xfId="333" xr:uid="{00000000-0005-0000-0000-00004D010000}"/>
    <cellStyle name="Normal 117" xfId="334" xr:uid="{00000000-0005-0000-0000-00004E010000}"/>
    <cellStyle name="Normal 118" xfId="335" xr:uid="{00000000-0005-0000-0000-00004F010000}"/>
    <cellStyle name="Normal 119" xfId="336" xr:uid="{00000000-0005-0000-0000-000050010000}"/>
    <cellStyle name="Normal 12" xfId="337" xr:uid="{00000000-0005-0000-0000-000051010000}"/>
    <cellStyle name="Normal 12 2" xfId="338" xr:uid="{00000000-0005-0000-0000-000052010000}"/>
    <cellStyle name="Normal 12_Compo-Civil" xfId="339" xr:uid="{00000000-0005-0000-0000-000053010000}"/>
    <cellStyle name="Normal 120" xfId="340" xr:uid="{00000000-0005-0000-0000-000054010000}"/>
    <cellStyle name="Normal 121" xfId="341" xr:uid="{00000000-0005-0000-0000-000055010000}"/>
    <cellStyle name="Normal 122" xfId="342" xr:uid="{00000000-0005-0000-0000-000056010000}"/>
    <cellStyle name="Normal 123" xfId="343" xr:uid="{00000000-0005-0000-0000-000057010000}"/>
    <cellStyle name="Normal 124" xfId="344" xr:uid="{00000000-0005-0000-0000-000058010000}"/>
    <cellStyle name="Normal 125" xfId="345" xr:uid="{00000000-0005-0000-0000-000059010000}"/>
    <cellStyle name="Normal 126" xfId="346" xr:uid="{00000000-0005-0000-0000-00005A010000}"/>
    <cellStyle name="Normal 127" xfId="347" xr:uid="{00000000-0005-0000-0000-00005B010000}"/>
    <cellStyle name="Normal 128" xfId="348" xr:uid="{00000000-0005-0000-0000-00005C010000}"/>
    <cellStyle name="Normal 129" xfId="349" xr:uid="{00000000-0005-0000-0000-00005D010000}"/>
    <cellStyle name="Normal 13" xfId="350" xr:uid="{00000000-0005-0000-0000-00005E010000}"/>
    <cellStyle name="Normal 13 2" xfId="351" xr:uid="{00000000-0005-0000-0000-00005F010000}"/>
    <cellStyle name="Normal 13 2 2" xfId="352" xr:uid="{00000000-0005-0000-0000-000060010000}"/>
    <cellStyle name="Normal 13 2 3" xfId="353" xr:uid="{00000000-0005-0000-0000-000061010000}"/>
    <cellStyle name="Normal 13 2_Compo-Civil" xfId="354" xr:uid="{00000000-0005-0000-0000-000062010000}"/>
    <cellStyle name="Normal 13 3" xfId="355" xr:uid="{00000000-0005-0000-0000-000063010000}"/>
    <cellStyle name="Normal 13 4" xfId="356" xr:uid="{00000000-0005-0000-0000-000064010000}"/>
    <cellStyle name="Normal 13_Compo-Civil" xfId="357" xr:uid="{00000000-0005-0000-0000-000065010000}"/>
    <cellStyle name="Normal 130" xfId="358" xr:uid="{00000000-0005-0000-0000-000066010000}"/>
    <cellStyle name="Normal 131" xfId="359" xr:uid="{00000000-0005-0000-0000-000067010000}"/>
    <cellStyle name="Normal 132" xfId="360" xr:uid="{00000000-0005-0000-0000-000068010000}"/>
    <cellStyle name="Normal 133" xfId="361" xr:uid="{00000000-0005-0000-0000-000069010000}"/>
    <cellStyle name="Normal 134" xfId="362" xr:uid="{00000000-0005-0000-0000-00006A010000}"/>
    <cellStyle name="Normal 135" xfId="363" xr:uid="{00000000-0005-0000-0000-00006B010000}"/>
    <cellStyle name="Normal 136" xfId="364" xr:uid="{00000000-0005-0000-0000-00006C010000}"/>
    <cellStyle name="Normal 137" xfId="365" xr:uid="{00000000-0005-0000-0000-00006D010000}"/>
    <cellStyle name="Normal 138" xfId="366" xr:uid="{00000000-0005-0000-0000-00006E010000}"/>
    <cellStyle name="Normal 139" xfId="367" xr:uid="{00000000-0005-0000-0000-00006F010000}"/>
    <cellStyle name="Normal 14" xfId="368" xr:uid="{00000000-0005-0000-0000-000070010000}"/>
    <cellStyle name="Normal 14 2" xfId="369" xr:uid="{00000000-0005-0000-0000-000071010000}"/>
    <cellStyle name="Normal 14_Compo-Civil" xfId="370" xr:uid="{00000000-0005-0000-0000-000072010000}"/>
    <cellStyle name="Normal 140" xfId="371" xr:uid="{00000000-0005-0000-0000-000073010000}"/>
    <cellStyle name="Normal 141" xfId="914" xr:uid="{00000000-0005-0000-0000-000074010000}"/>
    <cellStyle name="Normal 142" xfId="915" xr:uid="{00000000-0005-0000-0000-000075010000}"/>
    <cellStyle name="Normal 143" xfId="916" xr:uid="{00000000-0005-0000-0000-000076010000}"/>
    <cellStyle name="Normal 144" xfId="917" xr:uid="{00000000-0005-0000-0000-000077010000}"/>
    <cellStyle name="Normal 145" xfId="918" xr:uid="{00000000-0005-0000-0000-000078010000}"/>
    <cellStyle name="Normal 146" xfId="919" xr:uid="{00000000-0005-0000-0000-000079010000}"/>
    <cellStyle name="Normal 15" xfId="372" xr:uid="{00000000-0005-0000-0000-00007A010000}"/>
    <cellStyle name="Normal 15 2" xfId="373" xr:uid="{00000000-0005-0000-0000-00007B010000}"/>
    <cellStyle name="Normal 15 2 2" xfId="374" xr:uid="{00000000-0005-0000-0000-00007C010000}"/>
    <cellStyle name="Normal 15 2 3" xfId="375" xr:uid="{00000000-0005-0000-0000-00007D010000}"/>
    <cellStyle name="Normal 15 2_Compo-Civil" xfId="376" xr:uid="{00000000-0005-0000-0000-00007E010000}"/>
    <cellStyle name="Normal 15 3" xfId="377" xr:uid="{00000000-0005-0000-0000-00007F010000}"/>
    <cellStyle name="Normal 15 4" xfId="378" xr:uid="{00000000-0005-0000-0000-000080010000}"/>
    <cellStyle name="Normal 15_Compo-Civil" xfId="379" xr:uid="{00000000-0005-0000-0000-000081010000}"/>
    <cellStyle name="Normal 16" xfId="380" xr:uid="{00000000-0005-0000-0000-000082010000}"/>
    <cellStyle name="Normal 16 2" xfId="381" xr:uid="{00000000-0005-0000-0000-000083010000}"/>
    <cellStyle name="Normal 16 2 2" xfId="382" xr:uid="{00000000-0005-0000-0000-000084010000}"/>
    <cellStyle name="Normal 16 2 3" xfId="383" xr:uid="{00000000-0005-0000-0000-000085010000}"/>
    <cellStyle name="Normal 16 2_Compo-Civil" xfId="384" xr:uid="{00000000-0005-0000-0000-000086010000}"/>
    <cellStyle name="Normal 16 3" xfId="385" xr:uid="{00000000-0005-0000-0000-000087010000}"/>
    <cellStyle name="Normal 16 4" xfId="386" xr:uid="{00000000-0005-0000-0000-000088010000}"/>
    <cellStyle name="Normal 16_Compo-Civil" xfId="387" xr:uid="{00000000-0005-0000-0000-000089010000}"/>
    <cellStyle name="Normal 17" xfId="388" xr:uid="{00000000-0005-0000-0000-00008A010000}"/>
    <cellStyle name="Normal 17 2" xfId="389" xr:uid="{00000000-0005-0000-0000-00008B010000}"/>
    <cellStyle name="Normal 17_Compo-Civil" xfId="390" xr:uid="{00000000-0005-0000-0000-00008C010000}"/>
    <cellStyle name="Normal 18" xfId="391" xr:uid="{00000000-0005-0000-0000-00008D010000}"/>
    <cellStyle name="Normal 18 2" xfId="392" xr:uid="{00000000-0005-0000-0000-00008E010000}"/>
    <cellStyle name="Normal 18_Compo-Civil" xfId="393" xr:uid="{00000000-0005-0000-0000-00008F010000}"/>
    <cellStyle name="Normal 19" xfId="394" xr:uid="{00000000-0005-0000-0000-000090010000}"/>
    <cellStyle name="Normal 19 2" xfId="395" xr:uid="{00000000-0005-0000-0000-000091010000}"/>
    <cellStyle name="Normal 19_Compo-Civil" xfId="396" xr:uid="{00000000-0005-0000-0000-000092010000}"/>
    <cellStyle name="Normal 2" xfId="397" xr:uid="{00000000-0005-0000-0000-000093010000}"/>
    <cellStyle name="Normal 2 10" xfId="398" xr:uid="{00000000-0005-0000-0000-000094010000}"/>
    <cellStyle name="Normal 2 2" xfId="399" xr:uid="{00000000-0005-0000-0000-000095010000}"/>
    <cellStyle name="Normal 2 2 2" xfId="400" xr:uid="{00000000-0005-0000-0000-000096010000}"/>
    <cellStyle name="Normal 2 2 2 2" xfId="401" xr:uid="{00000000-0005-0000-0000-000097010000}"/>
    <cellStyle name="Normal 2 2 2_ORÇAMENTO - FORUM DE V. GRANDE" xfId="402" xr:uid="{00000000-0005-0000-0000-000098010000}"/>
    <cellStyle name="Normal 2 2_Compo-Civil" xfId="403" xr:uid="{00000000-0005-0000-0000-000099010000}"/>
    <cellStyle name="Normal 2 3" xfId="404" xr:uid="{00000000-0005-0000-0000-00009A010000}"/>
    <cellStyle name="Normal 2 4" xfId="405" xr:uid="{00000000-0005-0000-0000-00009B010000}"/>
    <cellStyle name="Normal 2 5" xfId="406" xr:uid="{00000000-0005-0000-0000-00009C010000}"/>
    <cellStyle name="Normal 2 6" xfId="407" xr:uid="{00000000-0005-0000-0000-00009D010000}"/>
    <cellStyle name="Normal 2 7" xfId="408" xr:uid="{00000000-0005-0000-0000-00009E010000}"/>
    <cellStyle name="Normal 2 8" xfId="409" xr:uid="{00000000-0005-0000-0000-00009F010000}"/>
    <cellStyle name="Normal 2 9" xfId="410" xr:uid="{00000000-0005-0000-0000-0000A0010000}"/>
    <cellStyle name="Normal 20" xfId="411" xr:uid="{00000000-0005-0000-0000-0000A1010000}"/>
    <cellStyle name="Normal 20 2" xfId="412" xr:uid="{00000000-0005-0000-0000-0000A2010000}"/>
    <cellStyle name="Normal 20_Compo-Civil" xfId="413" xr:uid="{00000000-0005-0000-0000-0000A3010000}"/>
    <cellStyle name="Normal 21" xfId="414" xr:uid="{00000000-0005-0000-0000-0000A4010000}"/>
    <cellStyle name="Normal 21 2" xfId="415" xr:uid="{00000000-0005-0000-0000-0000A5010000}"/>
    <cellStyle name="Normal 21 3" xfId="416" xr:uid="{00000000-0005-0000-0000-0000A6010000}"/>
    <cellStyle name="Normal 21 4" xfId="417" xr:uid="{00000000-0005-0000-0000-0000A7010000}"/>
    <cellStyle name="Normal 21_Compo-Civil" xfId="418" xr:uid="{00000000-0005-0000-0000-0000A8010000}"/>
    <cellStyle name="Normal 22" xfId="419" xr:uid="{00000000-0005-0000-0000-0000A9010000}"/>
    <cellStyle name="Normal 22 2" xfId="420" xr:uid="{00000000-0005-0000-0000-0000AA010000}"/>
    <cellStyle name="Normal 22_Compo-Civil" xfId="421" xr:uid="{00000000-0005-0000-0000-0000AB010000}"/>
    <cellStyle name="Normal 23" xfId="422" xr:uid="{00000000-0005-0000-0000-0000AC010000}"/>
    <cellStyle name="Normal 23 2" xfId="423" xr:uid="{00000000-0005-0000-0000-0000AD010000}"/>
    <cellStyle name="Normal 23_Compo-Civil" xfId="424" xr:uid="{00000000-0005-0000-0000-0000AE010000}"/>
    <cellStyle name="Normal 24" xfId="425" xr:uid="{00000000-0005-0000-0000-0000AF010000}"/>
    <cellStyle name="Normal 24 2" xfId="426" xr:uid="{00000000-0005-0000-0000-0000B0010000}"/>
    <cellStyle name="Normal 24_Compo-Civil" xfId="427" xr:uid="{00000000-0005-0000-0000-0000B1010000}"/>
    <cellStyle name="Normal 25" xfId="428" xr:uid="{00000000-0005-0000-0000-0000B2010000}"/>
    <cellStyle name="Normal 25 2" xfId="429" xr:uid="{00000000-0005-0000-0000-0000B3010000}"/>
    <cellStyle name="Normal 25_Compo-Civil" xfId="430" xr:uid="{00000000-0005-0000-0000-0000B4010000}"/>
    <cellStyle name="Normal 26" xfId="431" xr:uid="{00000000-0005-0000-0000-0000B5010000}"/>
    <cellStyle name="Normal 26 2" xfId="432" xr:uid="{00000000-0005-0000-0000-0000B6010000}"/>
    <cellStyle name="Normal 26_Compo-Civil" xfId="433" xr:uid="{00000000-0005-0000-0000-0000B7010000}"/>
    <cellStyle name="Normal 27" xfId="434" xr:uid="{00000000-0005-0000-0000-0000B8010000}"/>
    <cellStyle name="Normal 27 2" xfId="435" xr:uid="{00000000-0005-0000-0000-0000B9010000}"/>
    <cellStyle name="Normal 27_Compo-Civil" xfId="436" xr:uid="{00000000-0005-0000-0000-0000BA010000}"/>
    <cellStyle name="Normal 28" xfId="437" xr:uid="{00000000-0005-0000-0000-0000BB010000}"/>
    <cellStyle name="Normal 28 2" xfId="438" xr:uid="{00000000-0005-0000-0000-0000BC010000}"/>
    <cellStyle name="Normal 28_Compo-Civil" xfId="439" xr:uid="{00000000-0005-0000-0000-0000BD010000}"/>
    <cellStyle name="Normal 29" xfId="440" xr:uid="{00000000-0005-0000-0000-0000BE010000}"/>
    <cellStyle name="Normal 3 2" xfId="441" xr:uid="{00000000-0005-0000-0000-0000BF010000}"/>
    <cellStyle name="Normal 3 3" xfId="442" xr:uid="{00000000-0005-0000-0000-0000C0010000}"/>
    <cellStyle name="Normal 3 4" xfId="443" xr:uid="{00000000-0005-0000-0000-0000C1010000}"/>
    <cellStyle name="Normal 30" xfId="444" xr:uid="{00000000-0005-0000-0000-0000C2010000}"/>
    <cellStyle name="Normal 31" xfId="445" xr:uid="{00000000-0005-0000-0000-0000C3010000}"/>
    <cellStyle name="Normal 32" xfId="446" xr:uid="{00000000-0005-0000-0000-0000C4010000}"/>
    <cellStyle name="Normal 33" xfId="447" xr:uid="{00000000-0005-0000-0000-0000C5010000}"/>
    <cellStyle name="Normal 34" xfId="448" xr:uid="{00000000-0005-0000-0000-0000C6010000}"/>
    <cellStyle name="Normal 35" xfId="449" xr:uid="{00000000-0005-0000-0000-0000C7010000}"/>
    <cellStyle name="Normal 36" xfId="450" xr:uid="{00000000-0005-0000-0000-0000C8010000}"/>
    <cellStyle name="Normal 37" xfId="451" xr:uid="{00000000-0005-0000-0000-0000C9010000}"/>
    <cellStyle name="Normal 38" xfId="452" xr:uid="{00000000-0005-0000-0000-0000CA010000}"/>
    <cellStyle name="Normal 39" xfId="453" xr:uid="{00000000-0005-0000-0000-0000CB010000}"/>
    <cellStyle name="Normal 4 10" xfId="454" xr:uid="{00000000-0005-0000-0000-0000CC010000}"/>
    <cellStyle name="Normal 4 2" xfId="455" xr:uid="{00000000-0005-0000-0000-0000CD010000}"/>
    <cellStyle name="Normal 4 2 2" xfId="456" xr:uid="{00000000-0005-0000-0000-0000CE010000}"/>
    <cellStyle name="Normal 4 2 3" xfId="457" xr:uid="{00000000-0005-0000-0000-0000CF010000}"/>
    <cellStyle name="Normal 4 2_Compo-Civil" xfId="458" xr:uid="{00000000-0005-0000-0000-0000D0010000}"/>
    <cellStyle name="Normal 4 3" xfId="459" xr:uid="{00000000-0005-0000-0000-0000D1010000}"/>
    <cellStyle name="Normal 4 4" xfId="460" xr:uid="{00000000-0005-0000-0000-0000D2010000}"/>
    <cellStyle name="Normal 4 5" xfId="461" xr:uid="{00000000-0005-0000-0000-0000D3010000}"/>
    <cellStyle name="Normal 4 6" xfId="462" xr:uid="{00000000-0005-0000-0000-0000D4010000}"/>
    <cellStyle name="Normal 4 7" xfId="463" xr:uid="{00000000-0005-0000-0000-0000D5010000}"/>
    <cellStyle name="Normal 4 8" xfId="464" xr:uid="{00000000-0005-0000-0000-0000D6010000}"/>
    <cellStyle name="Normal 4 9" xfId="465" xr:uid="{00000000-0005-0000-0000-0000D7010000}"/>
    <cellStyle name="Normal 4_ORÇAMENTO" xfId="466" xr:uid="{00000000-0005-0000-0000-0000D8010000}"/>
    <cellStyle name="Normal 40" xfId="467" xr:uid="{00000000-0005-0000-0000-0000D9010000}"/>
    <cellStyle name="Normal 41" xfId="468" xr:uid="{00000000-0005-0000-0000-0000DA010000}"/>
    <cellStyle name="Normal 42" xfId="469" xr:uid="{00000000-0005-0000-0000-0000DB010000}"/>
    <cellStyle name="Normal 43" xfId="470" xr:uid="{00000000-0005-0000-0000-0000DC010000}"/>
    <cellStyle name="Normal 44" xfId="471" xr:uid="{00000000-0005-0000-0000-0000DD010000}"/>
    <cellStyle name="Normal 45" xfId="472" xr:uid="{00000000-0005-0000-0000-0000DE010000}"/>
    <cellStyle name="Normal 46" xfId="473" xr:uid="{00000000-0005-0000-0000-0000DF010000}"/>
    <cellStyle name="Normal 47" xfId="474" xr:uid="{00000000-0005-0000-0000-0000E0010000}"/>
    <cellStyle name="Normal 48" xfId="475" xr:uid="{00000000-0005-0000-0000-0000E1010000}"/>
    <cellStyle name="Normal 49" xfId="476" xr:uid="{00000000-0005-0000-0000-0000E2010000}"/>
    <cellStyle name="Normal 5" xfId="477" xr:uid="{00000000-0005-0000-0000-0000E3010000}"/>
    <cellStyle name="Normal 5 2" xfId="478" xr:uid="{00000000-0005-0000-0000-0000E4010000}"/>
    <cellStyle name="Normal 5 3" xfId="479" xr:uid="{00000000-0005-0000-0000-0000E5010000}"/>
    <cellStyle name="Normal 5 4" xfId="480" xr:uid="{00000000-0005-0000-0000-0000E6010000}"/>
    <cellStyle name="Normal 5_Compo-Civil" xfId="481" xr:uid="{00000000-0005-0000-0000-0000E7010000}"/>
    <cellStyle name="Normal 50" xfId="482" xr:uid="{00000000-0005-0000-0000-0000E8010000}"/>
    <cellStyle name="Normal 51" xfId="483" xr:uid="{00000000-0005-0000-0000-0000E9010000}"/>
    <cellStyle name="Normal 52" xfId="484" xr:uid="{00000000-0005-0000-0000-0000EA010000}"/>
    <cellStyle name="Normal 53" xfId="485" xr:uid="{00000000-0005-0000-0000-0000EB010000}"/>
    <cellStyle name="Normal 54" xfId="486" xr:uid="{00000000-0005-0000-0000-0000EC010000}"/>
    <cellStyle name="Normal 55" xfId="487" xr:uid="{00000000-0005-0000-0000-0000ED010000}"/>
    <cellStyle name="Normal 56" xfId="488" xr:uid="{00000000-0005-0000-0000-0000EE010000}"/>
    <cellStyle name="Normal 57" xfId="489" xr:uid="{00000000-0005-0000-0000-0000EF010000}"/>
    <cellStyle name="Normal 58" xfId="490" xr:uid="{00000000-0005-0000-0000-0000F0010000}"/>
    <cellStyle name="Normal 59" xfId="491" xr:uid="{00000000-0005-0000-0000-0000F1010000}"/>
    <cellStyle name="Normal 6" xfId="492" xr:uid="{00000000-0005-0000-0000-0000F2010000}"/>
    <cellStyle name="Normal 6 2" xfId="493" xr:uid="{00000000-0005-0000-0000-0000F3010000}"/>
    <cellStyle name="Normal 6_Compo-Civil" xfId="494" xr:uid="{00000000-0005-0000-0000-0000F4010000}"/>
    <cellStyle name="Normal 60" xfId="495" xr:uid="{00000000-0005-0000-0000-0000F5010000}"/>
    <cellStyle name="Normal 61" xfId="496" xr:uid="{00000000-0005-0000-0000-0000F6010000}"/>
    <cellStyle name="Normal 62" xfId="497" xr:uid="{00000000-0005-0000-0000-0000F7010000}"/>
    <cellStyle name="Normal 63" xfId="498" xr:uid="{00000000-0005-0000-0000-0000F8010000}"/>
    <cellStyle name="Normal 64" xfId="499" xr:uid="{00000000-0005-0000-0000-0000F9010000}"/>
    <cellStyle name="Normal 65" xfId="500" xr:uid="{00000000-0005-0000-0000-0000FA010000}"/>
    <cellStyle name="Normal 66" xfId="501" xr:uid="{00000000-0005-0000-0000-0000FB010000}"/>
    <cellStyle name="Normal 67" xfId="502" xr:uid="{00000000-0005-0000-0000-0000FC010000}"/>
    <cellStyle name="Normal 68" xfId="503" xr:uid="{00000000-0005-0000-0000-0000FD010000}"/>
    <cellStyle name="Normal 69" xfId="504" xr:uid="{00000000-0005-0000-0000-0000FE010000}"/>
    <cellStyle name="Normal 7" xfId="505" xr:uid="{00000000-0005-0000-0000-0000FF010000}"/>
    <cellStyle name="Normal 7 2" xfId="506" xr:uid="{00000000-0005-0000-0000-000000020000}"/>
    <cellStyle name="Normal 7_Compo-Civil" xfId="507" xr:uid="{00000000-0005-0000-0000-000001020000}"/>
    <cellStyle name="Normal 70" xfId="508" xr:uid="{00000000-0005-0000-0000-000002020000}"/>
    <cellStyle name="Normal 71" xfId="509" xr:uid="{00000000-0005-0000-0000-000003020000}"/>
    <cellStyle name="Normal 72" xfId="510" xr:uid="{00000000-0005-0000-0000-000004020000}"/>
    <cellStyle name="Normal 73" xfId="511" xr:uid="{00000000-0005-0000-0000-000005020000}"/>
    <cellStyle name="Normal 74" xfId="512" xr:uid="{00000000-0005-0000-0000-000006020000}"/>
    <cellStyle name="Normal 75" xfId="513" xr:uid="{00000000-0005-0000-0000-000007020000}"/>
    <cellStyle name="Normal 76" xfId="514" xr:uid="{00000000-0005-0000-0000-000008020000}"/>
    <cellStyle name="Normal 77" xfId="515" xr:uid="{00000000-0005-0000-0000-000009020000}"/>
    <cellStyle name="Normal 78" xfId="516" xr:uid="{00000000-0005-0000-0000-00000A020000}"/>
    <cellStyle name="Normal 79" xfId="517" xr:uid="{00000000-0005-0000-0000-00000B020000}"/>
    <cellStyle name="Normal 8" xfId="518" xr:uid="{00000000-0005-0000-0000-00000C020000}"/>
    <cellStyle name="Normal 8 2" xfId="519" xr:uid="{00000000-0005-0000-0000-00000D020000}"/>
    <cellStyle name="Normal 8 3" xfId="520" xr:uid="{00000000-0005-0000-0000-00000E020000}"/>
    <cellStyle name="Normal 8 4" xfId="521" xr:uid="{00000000-0005-0000-0000-00000F020000}"/>
    <cellStyle name="Normal 8_Compo-Civil" xfId="522" xr:uid="{00000000-0005-0000-0000-000010020000}"/>
    <cellStyle name="Normal 80" xfId="523" xr:uid="{00000000-0005-0000-0000-000011020000}"/>
    <cellStyle name="Normal 81" xfId="524" xr:uid="{00000000-0005-0000-0000-000012020000}"/>
    <cellStyle name="Normal 82" xfId="525" xr:uid="{00000000-0005-0000-0000-000013020000}"/>
    <cellStyle name="Normal 83" xfId="526" xr:uid="{00000000-0005-0000-0000-000014020000}"/>
    <cellStyle name="Normal 84" xfId="527" xr:uid="{00000000-0005-0000-0000-000015020000}"/>
    <cellStyle name="Normal 85" xfId="528" xr:uid="{00000000-0005-0000-0000-000016020000}"/>
    <cellStyle name="Normal 86" xfId="529" xr:uid="{00000000-0005-0000-0000-000017020000}"/>
    <cellStyle name="Normal 87" xfId="530" xr:uid="{00000000-0005-0000-0000-000018020000}"/>
    <cellStyle name="Normal 88" xfId="531" xr:uid="{00000000-0005-0000-0000-000019020000}"/>
    <cellStyle name="Normal 89" xfId="532" xr:uid="{00000000-0005-0000-0000-00001A020000}"/>
    <cellStyle name="Normal 9" xfId="533" xr:uid="{00000000-0005-0000-0000-00001B020000}"/>
    <cellStyle name="Normal 9 2" xfId="534" xr:uid="{00000000-0005-0000-0000-00001C020000}"/>
    <cellStyle name="Normal 9_Compo-Civil" xfId="535" xr:uid="{00000000-0005-0000-0000-00001D020000}"/>
    <cellStyle name="Normal 90" xfId="536" xr:uid="{00000000-0005-0000-0000-00001E020000}"/>
    <cellStyle name="Normal 91" xfId="537" xr:uid="{00000000-0005-0000-0000-00001F020000}"/>
    <cellStyle name="Normal 92" xfId="538" xr:uid="{00000000-0005-0000-0000-000020020000}"/>
    <cellStyle name="Normal 93" xfId="539" xr:uid="{00000000-0005-0000-0000-000021020000}"/>
    <cellStyle name="Normal 94" xfId="540" xr:uid="{00000000-0005-0000-0000-000022020000}"/>
    <cellStyle name="Normal 95" xfId="541" xr:uid="{00000000-0005-0000-0000-000023020000}"/>
    <cellStyle name="Normal 96" xfId="542" xr:uid="{00000000-0005-0000-0000-000024020000}"/>
    <cellStyle name="Normal 97" xfId="543" xr:uid="{00000000-0005-0000-0000-000025020000}"/>
    <cellStyle name="Normal 98" xfId="544" xr:uid="{00000000-0005-0000-0000-000026020000}"/>
    <cellStyle name="Normal 99" xfId="545" xr:uid="{00000000-0005-0000-0000-000027020000}"/>
    <cellStyle name="Normal_5ª Medição 199" xfId="546" xr:uid="{00000000-0005-0000-0000-000028020000}"/>
    <cellStyle name="Normal_rol-rua2" xfId="547" xr:uid="{00000000-0005-0000-0000-000029020000}"/>
    <cellStyle name="Nota 10" xfId="548" xr:uid="{00000000-0005-0000-0000-00002A020000}"/>
    <cellStyle name="Nota 10 2" xfId="549" xr:uid="{00000000-0005-0000-0000-00002B020000}"/>
    <cellStyle name="Nota 11" xfId="550" xr:uid="{00000000-0005-0000-0000-00002C020000}"/>
    <cellStyle name="Nota 11 2" xfId="551" xr:uid="{00000000-0005-0000-0000-00002D020000}"/>
    <cellStyle name="Nota 12" xfId="552" xr:uid="{00000000-0005-0000-0000-00002E020000}"/>
    <cellStyle name="Nota 12 2" xfId="553" xr:uid="{00000000-0005-0000-0000-00002F020000}"/>
    <cellStyle name="Nota 13" xfId="554" xr:uid="{00000000-0005-0000-0000-000030020000}"/>
    <cellStyle name="Nota 13 2" xfId="555" xr:uid="{00000000-0005-0000-0000-000031020000}"/>
    <cellStyle name="Nota 14" xfId="556" xr:uid="{00000000-0005-0000-0000-000032020000}"/>
    <cellStyle name="Nota 14 2" xfId="557" xr:uid="{00000000-0005-0000-0000-000033020000}"/>
    <cellStyle name="Nota 15" xfId="558" xr:uid="{00000000-0005-0000-0000-000034020000}"/>
    <cellStyle name="Nota 15 2" xfId="559" xr:uid="{00000000-0005-0000-0000-000035020000}"/>
    <cellStyle name="Nota 16" xfId="560" xr:uid="{00000000-0005-0000-0000-000036020000}"/>
    <cellStyle name="Nota 16 2" xfId="561" xr:uid="{00000000-0005-0000-0000-000037020000}"/>
    <cellStyle name="Nota 17" xfId="562" xr:uid="{00000000-0005-0000-0000-000038020000}"/>
    <cellStyle name="Nota 17 2" xfId="563" xr:uid="{00000000-0005-0000-0000-000039020000}"/>
    <cellStyle name="Nota 18" xfId="564" xr:uid="{00000000-0005-0000-0000-00003A020000}"/>
    <cellStyle name="Nota 18 2" xfId="565" xr:uid="{00000000-0005-0000-0000-00003B020000}"/>
    <cellStyle name="Nota 19" xfId="566" xr:uid="{00000000-0005-0000-0000-00003C020000}"/>
    <cellStyle name="Nota 19 2" xfId="567" xr:uid="{00000000-0005-0000-0000-00003D020000}"/>
    <cellStyle name="Nota 2" xfId="568" xr:uid="{00000000-0005-0000-0000-00003E020000}"/>
    <cellStyle name="Nota 2 2" xfId="569" xr:uid="{00000000-0005-0000-0000-00003F020000}"/>
    <cellStyle name="Nota 2 3" xfId="570" xr:uid="{00000000-0005-0000-0000-000040020000}"/>
    <cellStyle name="Nota 2 4" xfId="571" xr:uid="{00000000-0005-0000-0000-000041020000}"/>
    <cellStyle name="Nota 2_CIVIL- BL 1-2-3-4-5-6-7-8 " xfId="572" xr:uid="{00000000-0005-0000-0000-000042020000}"/>
    <cellStyle name="Nota 20" xfId="573" xr:uid="{00000000-0005-0000-0000-000043020000}"/>
    <cellStyle name="Nota 20 2" xfId="574" xr:uid="{00000000-0005-0000-0000-000044020000}"/>
    <cellStyle name="Nota 21" xfId="575" xr:uid="{00000000-0005-0000-0000-000045020000}"/>
    <cellStyle name="Nota 21 2" xfId="576" xr:uid="{00000000-0005-0000-0000-000046020000}"/>
    <cellStyle name="Nota 22" xfId="577" xr:uid="{00000000-0005-0000-0000-000047020000}"/>
    <cellStyle name="Nota 22 2" xfId="578" xr:uid="{00000000-0005-0000-0000-000048020000}"/>
    <cellStyle name="Nota 23" xfId="579" xr:uid="{00000000-0005-0000-0000-000049020000}"/>
    <cellStyle name="Nota 23 2" xfId="580" xr:uid="{00000000-0005-0000-0000-00004A020000}"/>
    <cellStyle name="Nota 24" xfId="581" xr:uid="{00000000-0005-0000-0000-00004B020000}"/>
    <cellStyle name="Nota 24 2" xfId="582" xr:uid="{00000000-0005-0000-0000-00004C020000}"/>
    <cellStyle name="Nota 25" xfId="583" xr:uid="{00000000-0005-0000-0000-00004D020000}"/>
    <cellStyle name="Nota 25 2" xfId="584" xr:uid="{00000000-0005-0000-0000-00004E020000}"/>
    <cellStyle name="Nota 26" xfId="585" xr:uid="{00000000-0005-0000-0000-00004F020000}"/>
    <cellStyle name="Nota 26 2" xfId="586" xr:uid="{00000000-0005-0000-0000-000050020000}"/>
    <cellStyle name="Nota 27" xfId="587" xr:uid="{00000000-0005-0000-0000-000051020000}"/>
    <cellStyle name="Nota 27 2" xfId="588" xr:uid="{00000000-0005-0000-0000-000052020000}"/>
    <cellStyle name="Nota 28" xfId="589" xr:uid="{00000000-0005-0000-0000-000053020000}"/>
    <cellStyle name="Nota 28 2" xfId="590" xr:uid="{00000000-0005-0000-0000-000054020000}"/>
    <cellStyle name="Nota 29" xfId="591" xr:uid="{00000000-0005-0000-0000-000055020000}"/>
    <cellStyle name="Nota 29 2" xfId="592" xr:uid="{00000000-0005-0000-0000-000056020000}"/>
    <cellStyle name="Nota 3" xfId="593" xr:uid="{00000000-0005-0000-0000-000057020000}"/>
    <cellStyle name="Nota 3 2" xfId="594" xr:uid="{00000000-0005-0000-0000-000058020000}"/>
    <cellStyle name="Nota 30" xfId="595" xr:uid="{00000000-0005-0000-0000-000059020000}"/>
    <cellStyle name="Nota 30 2" xfId="596" xr:uid="{00000000-0005-0000-0000-00005A020000}"/>
    <cellStyle name="Nota 31" xfId="597" xr:uid="{00000000-0005-0000-0000-00005B020000}"/>
    <cellStyle name="Nota 31 2" xfId="598" xr:uid="{00000000-0005-0000-0000-00005C020000}"/>
    <cellStyle name="Nota 32" xfId="599" xr:uid="{00000000-0005-0000-0000-00005D020000}"/>
    <cellStyle name="Nota 32 2" xfId="600" xr:uid="{00000000-0005-0000-0000-00005E020000}"/>
    <cellStyle name="Nota 33" xfId="601" xr:uid="{00000000-0005-0000-0000-00005F020000}"/>
    <cellStyle name="Nota 33 2" xfId="602" xr:uid="{00000000-0005-0000-0000-000060020000}"/>
    <cellStyle name="Nota 34" xfId="603" xr:uid="{00000000-0005-0000-0000-000061020000}"/>
    <cellStyle name="Nota 34 2" xfId="604" xr:uid="{00000000-0005-0000-0000-000062020000}"/>
    <cellStyle name="Nota 35" xfId="605" xr:uid="{00000000-0005-0000-0000-000063020000}"/>
    <cellStyle name="Nota 35 2" xfId="606" xr:uid="{00000000-0005-0000-0000-000064020000}"/>
    <cellStyle name="Nota 36" xfId="607" xr:uid="{00000000-0005-0000-0000-000065020000}"/>
    <cellStyle name="Nota 36 2" xfId="608" xr:uid="{00000000-0005-0000-0000-000066020000}"/>
    <cellStyle name="Nota 37" xfId="609" xr:uid="{00000000-0005-0000-0000-000067020000}"/>
    <cellStyle name="Nota 37 2" xfId="610" xr:uid="{00000000-0005-0000-0000-000068020000}"/>
    <cellStyle name="Nota 38" xfId="611" xr:uid="{00000000-0005-0000-0000-000069020000}"/>
    <cellStyle name="Nota 39" xfId="612" xr:uid="{00000000-0005-0000-0000-00006A020000}"/>
    <cellStyle name="Nota 4" xfId="613" xr:uid="{00000000-0005-0000-0000-00006B020000}"/>
    <cellStyle name="Nota 4 2" xfId="614" xr:uid="{00000000-0005-0000-0000-00006C020000}"/>
    <cellStyle name="Nota 5" xfId="615" xr:uid="{00000000-0005-0000-0000-00006D020000}"/>
    <cellStyle name="Nota 5 2" xfId="616" xr:uid="{00000000-0005-0000-0000-00006E020000}"/>
    <cellStyle name="Nota 6" xfId="617" xr:uid="{00000000-0005-0000-0000-00006F020000}"/>
    <cellStyle name="Nota 6 2" xfId="618" xr:uid="{00000000-0005-0000-0000-000070020000}"/>
    <cellStyle name="Nota 7" xfId="619" xr:uid="{00000000-0005-0000-0000-000071020000}"/>
    <cellStyle name="Nota 7 2" xfId="620" xr:uid="{00000000-0005-0000-0000-000072020000}"/>
    <cellStyle name="Nota 8" xfId="621" xr:uid="{00000000-0005-0000-0000-000073020000}"/>
    <cellStyle name="Nota 8 2" xfId="622" xr:uid="{00000000-0005-0000-0000-000074020000}"/>
    <cellStyle name="Nota 9" xfId="623" xr:uid="{00000000-0005-0000-0000-000075020000}"/>
    <cellStyle name="Nota 9 2" xfId="624" xr:uid="{00000000-0005-0000-0000-000076020000}"/>
    <cellStyle name="Output" xfId="625" xr:uid="{00000000-0005-0000-0000-000077020000}"/>
    <cellStyle name="planilhas" xfId="626" xr:uid="{00000000-0005-0000-0000-000078020000}"/>
    <cellStyle name="Porcentagem" xfId="627" builtinId="5"/>
    <cellStyle name="Porcentagem 10" xfId="628" xr:uid="{00000000-0005-0000-0000-00007A020000}"/>
    <cellStyle name="Porcentagem 10 2" xfId="629" xr:uid="{00000000-0005-0000-0000-00007B020000}"/>
    <cellStyle name="Porcentagem 11" xfId="630" xr:uid="{00000000-0005-0000-0000-00007C020000}"/>
    <cellStyle name="Porcentagem 12" xfId="631" xr:uid="{00000000-0005-0000-0000-00007D020000}"/>
    <cellStyle name="Porcentagem 13" xfId="632" xr:uid="{00000000-0005-0000-0000-00007E020000}"/>
    <cellStyle name="Porcentagem 14" xfId="633" xr:uid="{00000000-0005-0000-0000-00007F020000}"/>
    <cellStyle name="Porcentagem 15" xfId="634" xr:uid="{00000000-0005-0000-0000-000080020000}"/>
    <cellStyle name="Porcentagem 16" xfId="635" xr:uid="{00000000-0005-0000-0000-000081020000}"/>
    <cellStyle name="Porcentagem 17" xfId="636" xr:uid="{00000000-0005-0000-0000-000082020000}"/>
    <cellStyle name="Porcentagem 18" xfId="637" xr:uid="{00000000-0005-0000-0000-000083020000}"/>
    <cellStyle name="Porcentagem 19" xfId="638" xr:uid="{00000000-0005-0000-0000-000084020000}"/>
    <cellStyle name="Porcentagem 2" xfId="639" xr:uid="{00000000-0005-0000-0000-000085020000}"/>
    <cellStyle name="Porcentagem 2 10" xfId="640" xr:uid="{00000000-0005-0000-0000-000086020000}"/>
    <cellStyle name="Porcentagem 2 11" xfId="641" xr:uid="{00000000-0005-0000-0000-000087020000}"/>
    <cellStyle name="Porcentagem 2 12" xfId="642" xr:uid="{00000000-0005-0000-0000-000088020000}"/>
    <cellStyle name="Porcentagem 2 13" xfId="643" xr:uid="{00000000-0005-0000-0000-000089020000}"/>
    <cellStyle name="Porcentagem 2 14" xfId="644" xr:uid="{00000000-0005-0000-0000-00008A020000}"/>
    <cellStyle name="Porcentagem 2 15" xfId="645" xr:uid="{00000000-0005-0000-0000-00008B020000}"/>
    <cellStyle name="Porcentagem 2 16" xfId="646" xr:uid="{00000000-0005-0000-0000-00008C020000}"/>
    <cellStyle name="Porcentagem 2 17" xfId="647" xr:uid="{00000000-0005-0000-0000-00008D020000}"/>
    <cellStyle name="Porcentagem 2 18" xfId="648" xr:uid="{00000000-0005-0000-0000-00008E020000}"/>
    <cellStyle name="Porcentagem 2 19" xfId="649" xr:uid="{00000000-0005-0000-0000-00008F020000}"/>
    <cellStyle name="Porcentagem 2 2" xfId="650" xr:uid="{00000000-0005-0000-0000-000090020000}"/>
    <cellStyle name="Porcentagem 2 2 2" xfId="651" xr:uid="{00000000-0005-0000-0000-000091020000}"/>
    <cellStyle name="Porcentagem 2 2 3" xfId="652" xr:uid="{00000000-0005-0000-0000-000092020000}"/>
    <cellStyle name="Porcentagem 2 20" xfId="653" xr:uid="{00000000-0005-0000-0000-000093020000}"/>
    <cellStyle name="Porcentagem 2 21" xfId="654" xr:uid="{00000000-0005-0000-0000-000094020000}"/>
    <cellStyle name="Porcentagem 2 22" xfId="655" xr:uid="{00000000-0005-0000-0000-000095020000}"/>
    <cellStyle name="Porcentagem 2 23" xfId="656" xr:uid="{00000000-0005-0000-0000-000096020000}"/>
    <cellStyle name="Porcentagem 2 24" xfId="657" xr:uid="{00000000-0005-0000-0000-000097020000}"/>
    <cellStyle name="Porcentagem 2 25" xfId="658" xr:uid="{00000000-0005-0000-0000-000098020000}"/>
    <cellStyle name="Porcentagem 2 26" xfId="659" xr:uid="{00000000-0005-0000-0000-000099020000}"/>
    <cellStyle name="Porcentagem 2 27" xfId="660" xr:uid="{00000000-0005-0000-0000-00009A020000}"/>
    <cellStyle name="Porcentagem 2 28" xfId="661" xr:uid="{00000000-0005-0000-0000-00009B020000}"/>
    <cellStyle name="Porcentagem 2 29" xfId="662" xr:uid="{00000000-0005-0000-0000-00009C020000}"/>
    <cellStyle name="Porcentagem 2 3" xfId="663" xr:uid="{00000000-0005-0000-0000-00009D020000}"/>
    <cellStyle name="Porcentagem 2 30" xfId="664" xr:uid="{00000000-0005-0000-0000-00009E020000}"/>
    <cellStyle name="Porcentagem 2 4" xfId="665" xr:uid="{00000000-0005-0000-0000-00009F020000}"/>
    <cellStyle name="Porcentagem 2 5" xfId="666" xr:uid="{00000000-0005-0000-0000-0000A0020000}"/>
    <cellStyle name="Porcentagem 2 6" xfId="667" xr:uid="{00000000-0005-0000-0000-0000A1020000}"/>
    <cellStyle name="Porcentagem 2 7" xfId="668" xr:uid="{00000000-0005-0000-0000-0000A2020000}"/>
    <cellStyle name="Porcentagem 2 8" xfId="669" xr:uid="{00000000-0005-0000-0000-0000A3020000}"/>
    <cellStyle name="Porcentagem 2 9" xfId="670" xr:uid="{00000000-0005-0000-0000-0000A4020000}"/>
    <cellStyle name="Porcentagem 20" xfId="671" xr:uid="{00000000-0005-0000-0000-0000A5020000}"/>
    <cellStyle name="Porcentagem 21" xfId="672" xr:uid="{00000000-0005-0000-0000-0000A6020000}"/>
    <cellStyle name="Porcentagem 22" xfId="673" xr:uid="{00000000-0005-0000-0000-0000A7020000}"/>
    <cellStyle name="Porcentagem 23" xfId="674" xr:uid="{00000000-0005-0000-0000-0000A8020000}"/>
    <cellStyle name="Porcentagem 24" xfId="675" xr:uid="{00000000-0005-0000-0000-0000A9020000}"/>
    <cellStyle name="Porcentagem 25" xfId="676" xr:uid="{00000000-0005-0000-0000-0000AA020000}"/>
    <cellStyle name="Porcentagem 26" xfId="677" xr:uid="{00000000-0005-0000-0000-0000AB020000}"/>
    <cellStyle name="Porcentagem 27" xfId="678" xr:uid="{00000000-0005-0000-0000-0000AC020000}"/>
    <cellStyle name="Porcentagem 28" xfId="679" xr:uid="{00000000-0005-0000-0000-0000AD020000}"/>
    <cellStyle name="Porcentagem 29" xfId="680" xr:uid="{00000000-0005-0000-0000-0000AE020000}"/>
    <cellStyle name="Porcentagem 3" xfId="681" xr:uid="{00000000-0005-0000-0000-0000AF020000}"/>
    <cellStyle name="Porcentagem 30" xfId="682" xr:uid="{00000000-0005-0000-0000-0000B0020000}"/>
    <cellStyle name="Porcentagem 31" xfId="683" xr:uid="{00000000-0005-0000-0000-0000B1020000}"/>
    <cellStyle name="Porcentagem 33" xfId="684" xr:uid="{00000000-0005-0000-0000-0000B2020000}"/>
    <cellStyle name="Porcentagem 4" xfId="685" xr:uid="{00000000-0005-0000-0000-0000B3020000}"/>
    <cellStyle name="Porcentagem 5" xfId="686" xr:uid="{00000000-0005-0000-0000-0000B4020000}"/>
    <cellStyle name="Porcentagem 6" xfId="687" xr:uid="{00000000-0005-0000-0000-0000B5020000}"/>
    <cellStyle name="Porcentagem 7" xfId="688" xr:uid="{00000000-0005-0000-0000-0000B6020000}"/>
    <cellStyle name="Porcentagem 8" xfId="689" xr:uid="{00000000-0005-0000-0000-0000B7020000}"/>
    <cellStyle name="Porcentagem 9" xfId="690" xr:uid="{00000000-0005-0000-0000-0000B8020000}"/>
    <cellStyle name="Saída" xfId="691" builtinId="21"/>
    <cellStyle name="Saída 2" xfId="692" xr:uid="{00000000-0005-0000-0000-0000BA020000}"/>
    <cellStyle name="Saída 2 2" xfId="693" xr:uid="{00000000-0005-0000-0000-0000BB020000}"/>
    <cellStyle name="Saída 2 3" xfId="694" xr:uid="{00000000-0005-0000-0000-0000BC020000}"/>
    <cellStyle name="Saída 2_CIVIL- BL 1-2-3-4-5-6-7-8 " xfId="695" xr:uid="{00000000-0005-0000-0000-0000BD020000}"/>
    <cellStyle name="Saída 3" xfId="696" xr:uid="{00000000-0005-0000-0000-0000BE020000}"/>
    <cellStyle name="Saída 4" xfId="697" xr:uid="{00000000-0005-0000-0000-0000BF020000}"/>
    <cellStyle name="Saída 5" xfId="698" xr:uid="{00000000-0005-0000-0000-0000C0020000}"/>
    <cellStyle name="Saída 6" xfId="699" xr:uid="{00000000-0005-0000-0000-0000C1020000}"/>
    <cellStyle name="Separador de milhares 10" xfId="700" xr:uid="{00000000-0005-0000-0000-0000C2020000}"/>
    <cellStyle name="Separador de milhares 10 2" xfId="701" xr:uid="{00000000-0005-0000-0000-0000C3020000}"/>
    <cellStyle name="Separador de milhares 11" xfId="702" xr:uid="{00000000-0005-0000-0000-0000C4020000}"/>
    <cellStyle name="Separador de milhares 11 2" xfId="703" xr:uid="{00000000-0005-0000-0000-0000C5020000}"/>
    <cellStyle name="Separador de milhares 12" xfId="704" xr:uid="{00000000-0005-0000-0000-0000C6020000}"/>
    <cellStyle name="Separador de milhares 12 2" xfId="705" xr:uid="{00000000-0005-0000-0000-0000C7020000}"/>
    <cellStyle name="Separador de milhares 13" xfId="706" xr:uid="{00000000-0005-0000-0000-0000C8020000}"/>
    <cellStyle name="Separador de milhares 13 2" xfId="707" xr:uid="{00000000-0005-0000-0000-0000C9020000}"/>
    <cellStyle name="Separador de milhares 14" xfId="708" xr:uid="{00000000-0005-0000-0000-0000CA020000}"/>
    <cellStyle name="Separador de milhares 14 2" xfId="709" xr:uid="{00000000-0005-0000-0000-0000CB020000}"/>
    <cellStyle name="Separador de milhares 15" xfId="710" xr:uid="{00000000-0005-0000-0000-0000CC020000}"/>
    <cellStyle name="Separador de milhares 15 2" xfId="711" xr:uid="{00000000-0005-0000-0000-0000CD020000}"/>
    <cellStyle name="Separador de milhares 16" xfId="712" xr:uid="{00000000-0005-0000-0000-0000CE020000}"/>
    <cellStyle name="Separador de milhares 16 2" xfId="713" xr:uid="{00000000-0005-0000-0000-0000CF020000}"/>
    <cellStyle name="Separador de milhares 17" xfId="714" xr:uid="{00000000-0005-0000-0000-0000D0020000}"/>
    <cellStyle name="Separador de milhares 17 2" xfId="715" xr:uid="{00000000-0005-0000-0000-0000D1020000}"/>
    <cellStyle name="Separador de milhares 18" xfId="716" xr:uid="{00000000-0005-0000-0000-0000D2020000}"/>
    <cellStyle name="Separador de milhares 18 2" xfId="717" xr:uid="{00000000-0005-0000-0000-0000D3020000}"/>
    <cellStyle name="Separador de milhares 19" xfId="718" xr:uid="{00000000-0005-0000-0000-0000D4020000}"/>
    <cellStyle name="Separador de milhares 19 2" xfId="719" xr:uid="{00000000-0005-0000-0000-0000D5020000}"/>
    <cellStyle name="Separador de milhares 2 10" xfId="720" xr:uid="{00000000-0005-0000-0000-0000D6020000}"/>
    <cellStyle name="Separador de milhares 2 10 2" xfId="721" xr:uid="{00000000-0005-0000-0000-0000D7020000}"/>
    <cellStyle name="Separador de milhares 2 11" xfId="722" xr:uid="{00000000-0005-0000-0000-0000D8020000}"/>
    <cellStyle name="Separador de milhares 2 11 2" xfId="723" xr:uid="{00000000-0005-0000-0000-0000D9020000}"/>
    <cellStyle name="Separador de milhares 2 12" xfId="724" xr:uid="{00000000-0005-0000-0000-0000DA020000}"/>
    <cellStyle name="Separador de milhares 2 12 2" xfId="725" xr:uid="{00000000-0005-0000-0000-0000DB020000}"/>
    <cellStyle name="Separador de milhares 2 13" xfId="726" xr:uid="{00000000-0005-0000-0000-0000DC020000}"/>
    <cellStyle name="Separador de milhares 2 13 2" xfId="727" xr:uid="{00000000-0005-0000-0000-0000DD020000}"/>
    <cellStyle name="Separador de milhares 2 14" xfId="728" xr:uid="{00000000-0005-0000-0000-0000DE020000}"/>
    <cellStyle name="Separador de milhares 2 14 2" xfId="729" xr:uid="{00000000-0005-0000-0000-0000DF020000}"/>
    <cellStyle name="Separador de milhares 2 15" xfId="730" xr:uid="{00000000-0005-0000-0000-0000E0020000}"/>
    <cellStyle name="Separador de milhares 2 15 2" xfId="731" xr:uid="{00000000-0005-0000-0000-0000E1020000}"/>
    <cellStyle name="Separador de milhares 2 16" xfId="732" xr:uid="{00000000-0005-0000-0000-0000E2020000}"/>
    <cellStyle name="Separador de milhares 2 16 2" xfId="733" xr:uid="{00000000-0005-0000-0000-0000E3020000}"/>
    <cellStyle name="Separador de milhares 2 17" xfId="734" xr:uid="{00000000-0005-0000-0000-0000E4020000}"/>
    <cellStyle name="Separador de milhares 2 17 2" xfId="735" xr:uid="{00000000-0005-0000-0000-0000E5020000}"/>
    <cellStyle name="Separador de milhares 2 18" xfId="736" xr:uid="{00000000-0005-0000-0000-0000E6020000}"/>
    <cellStyle name="Separador de milhares 2 18 2" xfId="737" xr:uid="{00000000-0005-0000-0000-0000E7020000}"/>
    <cellStyle name="Separador de milhares 2 19" xfId="738" xr:uid="{00000000-0005-0000-0000-0000E8020000}"/>
    <cellStyle name="Separador de milhares 2 19 2" xfId="739" xr:uid="{00000000-0005-0000-0000-0000E9020000}"/>
    <cellStyle name="Separador de milhares 2 2" xfId="740" xr:uid="{00000000-0005-0000-0000-0000EA020000}"/>
    <cellStyle name="Separador de milhares 2 2 2" xfId="741" xr:uid="{00000000-0005-0000-0000-0000EB020000}"/>
    <cellStyle name="Separador de milhares 2 2 3" xfId="742" xr:uid="{00000000-0005-0000-0000-0000EC020000}"/>
    <cellStyle name="Separador de milhares 2 20" xfId="743" xr:uid="{00000000-0005-0000-0000-0000ED020000}"/>
    <cellStyle name="Separador de milhares 2 20 2" xfId="744" xr:uid="{00000000-0005-0000-0000-0000EE020000}"/>
    <cellStyle name="Separador de milhares 2 21" xfId="745" xr:uid="{00000000-0005-0000-0000-0000EF020000}"/>
    <cellStyle name="Separador de milhares 2 21 2" xfId="746" xr:uid="{00000000-0005-0000-0000-0000F0020000}"/>
    <cellStyle name="Separador de milhares 2 22" xfId="747" xr:uid="{00000000-0005-0000-0000-0000F1020000}"/>
    <cellStyle name="Separador de milhares 2 22 2" xfId="748" xr:uid="{00000000-0005-0000-0000-0000F2020000}"/>
    <cellStyle name="Separador de milhares 2 23" xfId="749" xr:uid="{00000000-0005-0000-0000-0000F3020000}"/>
    <cellStyle name="Separador de milhares 2 23 2" xfId="750" xr:uid="{00000000-0005-0000-0000-0000F4020000}"/>
    <cellStyle name="Separador de milhares 2 24" xfId="751" xr:uid="{00000000-0005-0000-0000-0000F5020000}"/>
    <cellStyle name="Separador de milhares 2 24 2" xfId="752" xr:uid="{00000000-0005-0000-0000-0000F6020000}"/>
    <cellStyle name="Separador de milhares 2 25" xfId="753" xr:uid="{00000000-0005-0000-0000-0000F7020000}"/>
    <cellStyle name="Separador de milhares 2 25 2" xfId="754" xr:uid="{00000000-0005-0000-0000-0000F8020000}"/>
    <cellStyle name="Separador de milhares 2 26" xfId="755" xr:uid="{00000000-0005-0000-0000-0000F9020000}"/>
    <cellStyle name="Separador de milhares 2 26 2" xfId="756" xr:uid="{00000000-0005-0000-0000-0000FA020000}"/>
    <cellStyle name="Separador de milhares 2 27" xfId="757" xr:uid="{00000000-0005-0000-0000-0000FB020000}"/>
    <cellStyle name="Separador de milhares 2 27 2" xfId="758" xr:uid="{00000000-0005-0000-0000-0000FC020000}"/>
    <cellStyle name="Separador de milhares 2 28" xfId="759" xr:uid="{00000000-0005-0000-0000-0000FD020000}"/>
    <cellStyle name="Separador de milhares 2 28 2" xfId="760" xr:uid="{00000000-0005-0000-0000-0000FE020000}"/>
    <cellStyle name="Separador de milhares 2 29" xfId="761" xr:uid="{00000000-0005-0000-0000-0000FF020000}"/>
    <cellStyle name="Separador de milhares 2 29 2" xfId="762" xr:uid="{00000000-0005-0000-0000-000000030000}"/>
    <cellStyle name="Separador de milhares 2 3" xfId="763" xr:uid="{00000000-0005-0000-0000-000001030000}"/>
    <cellStyle name="Separador de milhares 2 3 2" xfId="764" xr:uid="{00000000-0005-0000-0000-000002030000}"/>
    <cellStyle name="Separador de milhares 2 30" xfId="765" xr:uid="{00000000-0005-0000-0000-000003030000}"/>
    <cellStyle name="Separador de milhares 2 30 2" xfId="766" xr:uid="{00000000-0005-0000-0000-000004030000}"/>
    <cellStyle name="Separador de milhares 2 31" xfId="767" xr:uid="{00000000-0005-0000-0000-000005030000}"/>
    <cellStyle name="Separador de milhares 2 31 2" xfId="768" xr:uid="{00000000-0005-0000-0000-000006030000}"/>
    <cellStyle name="Separador de milhares 2 4" xfId="769" xr:uid="{00000000-0005-0000-0000-000007030000}"/>
    <cellStyle name="Separador de milhares 2 4 2" xfId="770" xr:uid="{00000000-0005-0000-0000-000008030000}"/>
    <cellStyle name="Separador de milhares 2 5" xfId="771" xr:uid="{00000000-0005-0000-0000-000009030000}"/>
    <cellStyle name="Separador de milhares 2 5 2" xfId="772" xr:uid="{00000000-0005-0000-0000-00000A030000}"/>
    <cellStyle name="Separador de milhares 2 6" xfId="773" xr:uid="{00000000-0005-0000-0000-00000B030000}"/>
    <cellStyle name="Separador de milhares 2 6 2" xfId="774" xr:uid="{00000000-0005-0000-0000-00000C030000}"/>
    <cellStyle name="Separador de milhares 2 7" xfId="775" xr:uid="{00000000-0005-0000-0000-00000D030000}"/>
    <cellStyle name="Separador de milhares 2 7 2" xfId="776" xr:uid="{00000000-0005-0000-0000-00000E030000}"/>
    <cellStyle name="Separador de milhares 2 8" xfId="777" xr:uid="{00000000-0005-0000-0000-00000F030000}"/>
    <cellStyle name="Separador de milhares 2 8 2" xfId="778" xr:uid="{00000000-0005-0000-0000-000010030000}"/>
    <cellStyle name="Separador de milhares 2 9" xfId="779" xr:uid="{00000000-0005-0000-0000-000011030000}"/>
    <cellStyle name="Separador de milhares 2 9 2" xfId="780" xr:uid="{00000000-0005-0000-0000-000012030000}"/>
    <cellStyle name="Separador de milhares 20" xfId="781" xr:uid="{00000000-0005-0000-0000-000013030000}"/>
    <cellStyle name="Separador de milhares 20 2" xfId="782" xr:uid="{00000000-0005-0000-0000-000014030000}"/>
    <cellStyle name="Separador de milhares 21" xfId="783" xr:uid="{00000000-0005-0000-0000-000015030000}"/>
    <cellStyle name="Separador de milhares 21 2" xfId="784" xr:uid="{00000000-0005-0000-0000-000016030000}"/>
    <cellStyle name="Separador de milhares 22" xfId="785" xr:uid="{00000000-0005-0000-0000-000017030000}"/>
    <cellStyle name="Separador de milhares 22 2" xfId="786" xr:uid="{00000000-0005-0000-0000-000018030000}"/>
    <cellStyle name="Separador de milhares 23" xfId="787" xr:uid="{00000000-0005-0000-0000-000019030000}"/>
    <cellStyle name="Separador de milhares 23 2" xfId="788" xr:uid="{00000000-0005-0000-0000-00001A030000}"/>
    <cellStyle name="Separador de milhares 24" xfId="789" xr:uid="{00000000-0005-0000-0000-00001B030000}"/>
    <cellStyle name="Separador de milhares 24 2" xfId="790" xr:uid="{00000000-0005-0000-0000-00001C030000}"/>
    <cellStyle name="Separador de milhares 25" xfId="791" xr:uid="{00000000-0005-0000-0000-00001D030000}"/>
    <cellStyle name="Separador de milhares 25 2" xfId="792" xr:uid="{00000000-0005-0000-0000-00001E030000}"/>
    <cellStyle name="Separador de milhares 26" xfId="793" xr:uid="{00000000-0005-0000-0000-00001F030000}"/>
    <cellStyle name="Separador de milhares 26 2" xfId="794" xr:uid="{00000000-0005-0000-0000-000020030000}"/>
    <cellStyle name="Separador de milhares 27" xfId="795" xr:uid="{00000000-0005-0000-0000-000021030000}"/>
    <cellStyle name="Separador de milhares 27 2" xfId="796" xr:uid="{00000000-0005-0000-0000-000022030000}"/>
    <cellStyle name="Separador de milhares 28" xfId="797" xr:uid="{00000000-0005-0000-0000-000023030000}"/>
    <cellStyle name="Separador de milhares 28 2" xfId="798" xr:uid="{00000000-0005-0000-0000-000024030000}"/>
    <cellStyle name="Separador de milhares 29" xfId="799" xr:uid="{00000000-0005-0000-0000-000025030000}"/>
    <cellStyle name="Separador de milhares 29 2" xfId="800" xr:uid="{00000000-0005-0000-0000-000026030000}"/>
    <cellStyle name="Separador de milhares 3 2" xfId="801" xr:uid="{00000000-0005-0000-0000-000027030000}"/>
    <cellStyle name="Separador de milhares 3 2 2" xfId="802" xr:uid="{00000000-0005-0000-0000-000028030000}"/>
    <cellStyle name="Separador de milhares 3 3" xfId="803" xr:uid="{00000000-0005-0000-0000-000029030000}"/>
    <cellStyle name="Separador de milhares 3 3 2" xfId="804" xr:uid="{00000000-0005-0000-0000-00002A030000}"/>
    <cellStyle name="Separador de milhares 3 4" xfId="805" xr:uid="{00000000-0005-0000-0000-00002B030000}"/>
    <cellStyle name="Separador de milhares 3 4 2" xfId="806" xr:uid="{00000000-0005-0000-0000-00002C030000}"/>
    <cellStyle name="Separador de milhares 30" xfId="807" xr:uid="{00000000-0005-0000-0000-00002D030000}"/>
    <cellStyle name="Separador de milhares 30 2" xfId="808" xr:uid="{00000000-0005-0000-0000-00002E030000}"/>
    <cellStyle name="Separador de milhares 31" xfId="809" xr:uid="{00000000-0005-0000-0000-00002F030000}"/>
    <cellStyle name="Separador de milhares 31 2" xfId="810" xr:uid="{00000000-0005-0000-0000-000030030000}"/>
    <cellStyle name="Separador de milhares 4" xfId="811" xr:uid="{00000000-0005-0000-0000-000031030000}"/>
    <cellStyle name="Separador de milhares 4 2" xfId="812" xr:uid="{00000000-0005-0000-0000-000032030000}"/>
    <cellStyle name="Separador de milhares 5" xfId="813" xr:uid="{00000000-0005-0000-0000-000033030000}"/>
    <cellStyle name="Separador de milhares 5 2" xfId="814" xr:uid="{00000000-0005-0000-0000-000034030000}"/>
    <cellStyle name="Separador de milhares 5 2 2" xfId="815" xr:uid="{00000000-0005-0000-0000-000035030000}"/>
    <cellStyle name="Separador de milhares 5 3" xfId="816" xr:uid="{00000000-0005-0000-0000-000036030000}"/>
    <cellStyle name="Separador de milhares 5 3 2" xfId="817" xr:uid="{00000000-0005-0000-0000-000037030000}"/>
    <cellStyle name="Separador de milhares 5 4" xfId="818" xr:uid="{00000000-0005-0000-0000-000038030000}"/>
    <cellStyle name="Separador de milhares 6" xfId="819" xr:uid="{00000000-0005-0000-0000-000039030000}"/>
    <cellStyle name="Separador de milhares 6 2" xfId="820" xr:uid="{00000000-0005-0000-0000-00003A030000}"/>
    <cellStyle name="Separador de milhares 6 2 2" xfId="821" xr:uid="{00000000-0005-0000-0000-00003B030000}"/>
    <cellStyle name="Separador de milhares 6 3" xfId="822" xr:uid="{00000000-0005-0000-0000-00003C030000}"/>
    <cellStyle name="Separador de milhares 7" xfId="823" xr:uid="{00000000-0005-0000-0000-00003D030000}"/>
    <cellStyle name="Separador de milhares 7 2" xfId="824" xr:uid="{00000000-0005-0000-0000-00003E030000}"/>
    <cellStyle name="Separador de milhares 8" xfId="825" xr:uid="{00000000-0005-0000-0000-00003F030000}"/>
    <cellStyle name="Separador de milhares 8 2" xfId="826" xr:uid="{00000000-0005-0000-0000-000040030000}"/>
    <cellStyle name="Separador de milhares 9" xfId="827" xr:uid="{00000000-0005-0000-0000-000041030000}"/>
    <cellStyle name="Separador de milhares 9 2" xfId="828" xr:uid="{00000000-0005-0000-0000-000042030000}"/>
    <cellStyle name="Texto de Aviso 2" xfId="829" xr:uid="{00000000-0005-0000-0000-000043030000}"/>
    <cellStyle name="Texto de Aviso 2 2" xfId="830" xr:uid="{00000000-0005-0000-0000-000044030000}"/>
    <cellStyle name="Texto de Aviso 2 3" xfId="831" xr:uid="{00000000-0005-0000-0000-000045030000}"/>
    <cellStyle name="Texto de Aviso 2_ORÇAMENTO - FORUM DE V. GRANDE" xfId="832" xr:uid="{00000000-0005-0000-0000-000046030000}"/>
    <cellStyle name="Texto de Aviso 3" xfId="833" xr:uid="{00000000-0005-0000-0000-000047030000}"/>
    <cellStyle name="Texto de Aviso 4" xfId="834" xr:uid="{00000000-0005-0000-0000-000048030000}"/>
    <cellStyle name="Texto de Aviso 5" xfId="835" xr:uid="{00000000-0005-0000-0000-000049030000}"/>
    <cellStyle name="Texto de Aviso 6" xfId="836" xr:uid="{00000000-0005-0000-0000-00004A030000}"/>
    <cellStyle name="Texto Explicativo 2" xfId="837" xr:uid="{00000000-0005-0000-0000-00004B030000}"/>
    <cellStyle name="Texto Explicativo 2 2" xfId="838" xr:uid="{00000000-0005-0000-0000-00004C030000}"/>
    <cellStyle name="Texto Explicativo 2 3" xfId="839" xr:uid="{00000000-0005-0000-0000-00004D030000}"/>
    <cellStyle name="Texto Explicativo 2_ORÇAMENTO - FORUM DE V. GRANDE" xfId="840" xr:uid="{00000000-0005-0000-0000-00004E030000}"/>
    <cellStyle name="Texto Explicativo 3" xfId="841" xr:uid="{00000000-0005-0000-0000-00004F030000}"/>
    <cellStyle name="Texto Explicativo 4" xfId="842" xr:uid="{00000000-0005-0000-0000-000050030000}"/>
    <cellStyle name="Texto Explicativo 5" xfId="843" xr:uid="{00000000-0005-0000-0000-000051030000}"/>
    <cellStyle name="Texto Explicativo 6" xfId="844" xr:uid="{00000000-0005-0000-0000-000052030000}"/>
    <cellStyle name="Title" xfId="845" xr:uid="{00000000-0005-0000-0000-000053030000}"/>
    <cellStyle name="Título 1 2" xfId="846" xr:uid="{00000000-0005-0000-0000-000054030000}"/>
    <cellStyle name="Título 1 2 2" xfId="847" xr:uid="{00000000-0005-0000-0000-000055030000}"/>
    <cellStyle name="Título 1 2 3" xfId="848" xr:uid="{00000000-0005-0000-0000-000056030000}"/>
    <cellStyle name="Título 1 2_CIVIL- BL 1-2-3-4-5-6-7-8 " xfId="849" xr:uid="{00000000-0005-0000-0000-000057030000}"/>
    <cellStyle name="Título 1 3" xfId="850" xr:uid="{00000000-0005-0000-0000-000058030000}"/>
    <cellStyle name="Título 1 4" xfId="851" xr:uid="{00000000-0005-0000-0000-000059030000}"/>
    <cellStyle name="Título 1 5" xfId="852" xr:uid="{00000000-0005-0000-0000-00005A030000}"/>
    <cellStyle name="Título 1 6" xfId="853" xr:uid="{00000000-0005-0000-0000-00005B030000}"/>
    <cellStyle name="Título 10" xfId="854" xr:uid="{00000000-0005-0000-0000-00005C030000}"/>
    <cellStyle name="Título 2 2" xfId="855" xr:uid="{00000000-0005-0000-0000-00005D030000}"/>
    <cellStyle name="Título 2 2 2" xfId="856" xr:uid="{00000000-0005-0000-0000-00005E030000}"/>
    <cellStyle name="Título 2 2 3" xfId="857" xr:uid="{00000000-0005-0000-0000-00005F030000}"/>
    <cellStyle name="Título 2 2_CIVIL- BL 1-2-3-4-5-6-7-8 " xfId="858" xr:uid="{00000000-0005-0000-0000-000060030000}"/>
    <cellStyle name="Título 2 3" xfId="859" xr:uid="{00000000-0005-0000-0000-000061030000}"/>
    <cellStyle name="Título 2 4" xfId="860" xr:uid="{00000000-0005-0000-0000-000062030000}"/>
    <cellStyle name="Título 2 5" xfId="861" xr:uid="{00000000-0005-0000-0000-000063030000}"/>
    <cellStyle name="Título 2 6" xfId="862" xr:uid="{00000000-0005-0000-0000-000064030000}"/>
    <cellStyle name="Título 3 2" xfId="863" xr:uid="{00000000-0005-0000-0000-000065030000}"/>
    <cellStyle name="Título 3 2 2" xfId="864" xr:uid="{00000000-0005-0000-0000-000066030000}"/>
    <cellStyle name="Título 3 2 3" xfId="865" xr:uid="{00000000-0005-0000-0000-000067030000}"/>
    <cellStyle name="Título 3 2_CIVIL- BL 1-2-3-4-5-6-7-8 " xfId="866" xr:uid="{00000000-0005-0000-0000-000068030000}"/>
    <cellStyle name="Título 3 3" xfId="867" xr:uid="{00000000-0005-0000-0000-000069030000}"/>
    <cellStyle name="Título 3 4" xfId="868" xr:uid="{00000000-0005-0000-0000-00006A030000}"/>
    <cellStyle name="Título 3 5" xfId="869" xr:uid="{00000000-0005-0000-0000-00006B030000}"/>
    <cellStyle name="Título 3 6" xfId="870" xr:uid="{00000000-0005-0000-0000-00006C030000}"/>
    <cellStyle name="Título 4 2" xfId="871" xr:uid="{00000000-0005-0000-0000-00006D030000}"/>
    <cellStyle name="Título 4 2 2" xfId="872" xr:uid="{00000000-0005-0000-0000-00006E030000}"/>
    <cellStyle name="Título 4 2 3" xfId="873" xr:uid="{00000000-0005-0000-0000-00006F030000}"/>
    <cellStyle name="Título 4 2_ORÇAMENTO - FORUM DE V. GRANDE" xfId="874" xr:uid="{00000000-0005-0000-0000-000070030000}"/>
    <cellStyle name="Título 4 3" xfId="875" xr:uid="{00000000-0005-0000-0000-000071030000}"/>
    <cellStyle name="Título 4 4" xfId="876" xr:uid="{00000000-0005-0000-0000-000072030000}"/>
    <cellStyle name="Título 4 5" xfId="877" xr:uid="{00000000-0005-0000-0000-000073030000}"/>
    <cellStyle name="Título 4 6" xfId="878" xr:uid="{00000000-0005-0000-0000-000074030000}"/>
    <cellStyle name="Título 5" xfId="879" xr:uid="{00000000-0005-0000-0000-000075030000}"/>
    <cellStyle name="Título 5 2" xfId="880" xr:uid="{00000000-0005-0000-0000-000076030000}"/>
    <cellStyle name="Título 5 3" xfId="881" xr:uid="{00000000-0005-0000-0000-000077030000}"/>
    <cellStyle name="Título 5_ORÇAMENTO - FORUM DE V. GRANDE" xfId="882" xr:uid="{00000000-0005-0000-0000-000078030000}"/>
    <cellStyle name="Título 6" xfId="883" xr:uid="{00000000-0005-0000-0000-000079030000}"/>
    <cellStyle name="Título 7" xfId="884" xr:uid="{00000000-0005-0000-0000-00007A030000}"/>
    <cellStyle name="Título 8" xfId="885" xr:uid="{00000000-0005-0000-0000-00007B030000}"/>
    <cellStyle name="Título 9" xfId="886" xr:uid="{00000000-0005-0000-0000-00007C030000}"/>
    <cellStyle name="Total 2" xfId="887" xr:uid="{00000000-0005-0000-0000-00007D030000}"/>
    <cellStyle name="Total 2 2" xfId="888" xr:uid="{00000000-0005-0000-0000-00007E030000}"/>
    <cellStyle name="Total 2 3" xfId="889" xr:uid="{00000000-0005-0000-0000-00007F030000}"/>
    <cellStyle name="Total 2_CIVIL- BL 1-2-3-4-5-6-7-8 " xfId="890" xr:uid="{00000000-0005-0000-0000-000080030000}"/>
    <cellStyle name="Total 3" xfId="891" xr:uid="{00000000-0005-0000-0000-000081030000}"/>
    <cellStyle name="Total 4" xfId="892" xr:uid="{00000000-0005-0000-0000-000082030000}"/>
    <cellStyle name="Total 5" xfId="893" xr:uid="{00000000-0005-0000-0000-000083030000}"/>
    <cellStyle name="Total 6" xfId="894" xr:uid="{00000000-0005-0000-0000-000084030000}"/>
    <cellStyle name="Total 7" xfId="895" xr:uid="{00000000-0005-0000-0000-000085030000}"/>
    <cellStyle name="Vírgula" xfId="896" builtinId="3"/>
    <cellStyle name="Vírgula 2" xfId="897" xr:uid="{00000000-0005-0000-0000-000087030000}"/>
    <cellStyle name="Vírgula 2 2" xfId="898" xr:uid="{00000000-0005-0000-0000-000088030000}"/>
    <cellStyle name="Vírgula 2 2 2" xfId="899" xr:uid="{00000000-0005-0000-0000-000089030000}"/>
    <cellStyle name="Vírgula 2 3" xfId="900" xr:uid="{00000000-0005-0000-0000-00008A030000}"/>
    <cellStyle name="Vírgula 2 3 2" xfId="901" xr:uid="{00000000-0005-0000-0000-00008B030000}"/>
    <cellStyle name="Vírgula 2 4" xfId="902" xr:uid="{00000000-0005-0000-0000-00008C030000}"/>
    <cellStyle name="Vírgula 3" xfId="903" xr:uid="{00000000-0005-0000-0000-00008D030000}"/>
    <cellStyle name="Vírgula 3 2" xfId="904" xr:uid="{00000000-0005-0000-0000-00008E030000}"/>
    <cellStyle name="Vírgula 3 2 2" xfId="905" xr:uid="{00000000-0005-0000-0000-00008F030000}"/>
    <cellStyle name="Vírgula 3 3" xfId="906" xr:uid="{00000000-0005-0000-0000-000090030000}"/>
    <cellStyle name="Vírgula 4" xfId="907" xr:uid="{00000000-0005-0000-0000-000091030000}"/>
    <cellStyle name="Vírgula 4 2" xfId="908" xr:uid="{00000000-0005-0000-0000-000092030000}"/>
    <cellStyle name="Vírgula 4 2 2" xfId="909" xr:uid="{00000000-0005-0000-0000-000093030000}"/>
    <cellStyle name="Vírgula 4 3" xfId="910" xr:uid="{00000000-0005-0000-0000-000094030000}"/>
    <cellStyle name="Vírgula 5" xfId="911" xr:uid="{00000000-0005-0000-0000-000095030000}"/>
    <cellStyle name="Vírgula 5 2" xfId="912" xr:uid="{00000000-0005-0000-0000-000096030000}"/>
    <cellStyle name="Vírgula 6" xfId="913" xr:uid="{00000000-0005-0000-0000-00009703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1285875</xdr:colOff>
      <xdr:row>27</xdr:row>
      <xdr:rowOff>57150</xdr:rowOff>
    </xdr:from>
    <xdr:to>
      <xdr:col>5</xdr:col>
      <xdr:colOff>152400</xdr:colOff>
      <xdr:row>33</xdr:row>
      <xdr:rowOff>85725</xdr:rowOff>
    </xdr:to>
    <xdr:pic>
      <xdr:nvPicPr>
        <xdr:cNvPr id="189112" name="Picture 3">
          <a:extLst>
            <a:ext uri="{FF2B5EF4-FFF2-40B4-BE49-F238E27FC236}">
              <a16:creationId xmlns:a16="http://schemas.microsoft.com/office/drawing/2014/main" id="{53A10B6A-EC6A-40FD-BFF0-4315E7466B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5553075"/>
          <a:ext cx="3476625" cy="1152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</xdr:col>
      <xdr:colOff>1285875</xdr:colOff>
      <xdr:row>27</xdr:row>
      <xdr:rowOff>57150</xdr:rowOff>
    </xdr:from>
    <xdr:to>
      <xdr:col>5</xdr:col>
      <xdr:colOff>152400</xdr:colOff>
      <xdr:row>33</xdr:row>
      <xdr:rowOff>85725</xdr:rowOff>
    </xdr:to>
    <xdr:pic>
      <xdr:nvPicPr>
        <xdr:cNvPr id="189113" name="Picture 3">
          <a:extLst>
            <a:ext uri="{FF2B5EF4-FFF2-40B4-BE49-F238E27FC236}">
              <a16:creationId xmlns:a16="http://schemas.microsoft.com/office/drawing/2014/main" id="{F06CD84C-2C5A-48FE-B0F2-430DCD50CC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5553075"/>
          <a:ext cx="3476625" cy="1152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1285875</xdr:colOff>
      <xdr:row>27</xdr:row>
      <xdr:rowOff>57150</xdr:rowOff>
    </xdr:from>
    <xdr:to>
      <xdr:col>5</xdr:col>
      <xdr:colOff>152400</xdr:colOff>
      <xdr:row>33</xdr:row>
      <xdr:rowOff>85725</xdr:rowOff>
    </xdr:to>
    <xdr:pic>
      <xdr:nvPicPr>
        <xdr:cNvPr id="190136" name="Picture 3">
          <a:extLst>
            <a:ext uri="{FF2B5EF4-FFF2-40B4-BE49-F238E27FC236}">
              <a16:creationId xmlns:a16="http://schemas.microsoft.com/office/drawing/2014/main" id="{84CC04B4-79DD-4393-9A19-A1CCE6A10E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5553075"/>
          <a:ext cx="3476625" cy="1152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</xdr:col>
      <xdr:colOff>1285875</xdr:colOff>
      <xdr:row>27</xdr:row>
      <xdr:rowOff>57150</xdr:rowOff>
    </xdr:from>
    <xdr:to>
      <xdr:col>5</xdr:col>
      <xdr:colOff>152400</xdr:colOff>
      <xdr:row>33</xdr:row>
      <xdr:rowOff>85725</xdr:rowOff>
    </xdr:to>
    <xdr:pic>
      <xdr:nvPicPr>
        <xdr:cNvPr id="190137" name="Picture 3">
          <a:extLst>
            <a:ext uri="{FF2B5EF4-FFF2-40B4-BE49-F238E27FC236}">
              <a16:creationId xmlns:a16="http://schemas.microsoft.com/office/drawing/2014/main" id="{09ED6739-97A8-4D2A-ABC0-0A81EECDC1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5553075"/>
          <a:ext cx="3476625" cy="1152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nas\Projetos\A1%20V&#193;RZEA%20GRANDE%202018\BAIRRO%2023%20DE%20SETEMBRO%20E%20OUTROS\OR&#199;AMENTO\QUANTIDADE%20E%20OR&#199;AMENTO%20%2023%20SETEMBRO%20N&#195;O%20DESONERAD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QUANT"/>
      <sheetName val="ORÇA "/>
      <sheetName val="CFF"/>
      <sheetName val="TRANSP"/>
      <sheetName val="MEMORIAL DE CALCULO"/>
      <sheetName val="BLS"/>
      <sheetName val="BLD"/>
      <sheetName val="BLT"/>
      <sheetName val="TERRAP E PAVIM"/>
      <sheetName val="BDI"/>
      <sheetName val="BDI DIFERENCIADO"/>
      <sheetName val="DRENO"/>
      <sheetName val="SN HOR"/>
      <sheetName val="SN VERT"/>
      <sheetName val="LASTRO"/>
    </sheetNames>
    <sheetDataSet>
      <sheetData sheetId="0"/>
      <sheetData sheetId="1">
        <row r="1">
          <cell r="A1" t="str">
            <v>PREFEITURA MUNICIPAL DE VÁRZEA GRANDE</v>
          </cell>
        </row>
        <row r="5">
          <cell r="A5" t="str">
            <v>ITEM</v>
          </cell>
          <cell r="B5" t="str">
            <v>CODIGO</v>
          </cell>
          <cell r="C5" t="str">
            <v>BANCO</v>
          </cell>
          <cell r="D5" t="str">
            <v>DISCRIMINAÇÃO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E40"/>
  <sheetViews>
    <sheetView tabSelected="1" zoomScale="85" zoomScaleNormal="85" zoomScaleSheetLayoutView="100" workbookViewId="0">
      <selection activeCell="A36" sqref="A36:C36"/>
    </sheetView>
  </sheetViews>
  <sheetFormatPr defaultRowHeight="12.75"/>
  <cols>
    <col min="1" max="1" width="16.7109375" customWidth="1"/>
    <col min="2" max="2" width="57.85546875" customWidth="1"/>
    <col min="3" max="3" width="24.85546875" style="4" customWidth="1"/>
    <col min="5" max="5" width="19.5703125" bestFit="1" customWidth="1"/>
  </cols>
  <sheetData>
    <row r="1" spans="1:3" ht="13.5" thickBot="1">
      <c r="A1" s="1"/>
      <c r="B1" s="1"/>
      <c r="C1" s="97"/>
    </row>
    <row r="2" spans="1:3" ht="25.5" customHeight="1">
      <c r="A2" s="477" t="s">
        <v>54</v>
      </c>
      <c r="B2" s="478"/>
      <c r="C2" s="479"/>
    </row>
    <row r="3" spans="1:3" ht="12.75" customHeight="1">
      <c r="A3" s="480" t="s">
        <v>25</v>
      </c>
      <c r="B3" s="481"/>
      <c r="C3" s="482"/>
    </row>
    <row r="4" spans="1:3" ht="12.75" customHeight="1">
      <c r="A4" s="480"/>
      <c r="B4" s="481"/>
      <c r="C4" s="482"/>
    </row>
    <row r="5" spans="1:3">
      <c r="A5" s="484" t="s">
        <v>55</v>
      </c>
      <c r="B5" s="483" t="s">
        <v>247</v>
      </c>
      <c r="C5" s="92" t="s">
        <v>347</v>
      </c>
    </row>
    <row r="6" spans="1:3" ht="14.25" customHeight="1">
      <c r="A6" s="484"/>
      <c r="B6" s="483"/>
      <c r="C6" s="93" t="s">
        <v>336</v>
      </c>
    </row>
    <row r="7" spans="1:3">
      <c r="A7" s="484"/>
      <c r="B7" s="483"/>
      <c r="C7" s="158" t="s">
        <v>155</v>
      </c>
    </row>
    <row r="8" spans="1:3" ht="20.100000000000001" customHeight="1">
      <c r="A8" s="94" t="s">
        <v>14</v>
      </c>
      <c r="B8" s="95" t="s">
        <v>0</v>
      </c>
      <c r="C8" s="96" t="s">
        <v>26</v>
      </c>
    </row>
    <row r="9" spans="1:3" ht="12.75" customHeight="1">
      <c r="A9" s="451" t="str">
        <f>'ORÇA '!B7</f>
        <v>I</v>
      </c>
      <c r="B9" s="454" t="str">
        <f>QUANT!D6</f>
        <v>SERVIÇOS PRELIMINARES</v>
      </c>
      <c r="C9" s="445">
        <f>'ORÇA '!J11</f>
        <v>28816.190000000002</v>
      </c>
    </row>
    <row r="10" spans="1:3" ht="14.25" customHeight="1">
      <c r="A10" s="452"/>
      <c r="B10" s="449"/>
      <c r="C10" s="446"/>
    </row>
    <row r="11" spans="1:3" ht="12.75" customHeight="1">
      <c r="A11" s="453"/>
      <c r="B11" s="450"/>
      <c r="C11" s="447"/>
    </row>
    <row r="12" spans="1:3">
      <c r="A12" s="451" t="str">
        <f>'ORÇA '!B13</f>
        <v>II</v>
      </c>
      <c r="B12" s="448" t="str">
        <f>'ORÇA '!D13</f>
        <v>ADMINISTRAÇÃO LOCAL</v>
      </c>
      <c r="C12" s="445">
        <f>'ORÇA '!J14</f>
        <v>13736.65</v>
      </c>
    </row>
    <row r="13" spans="1:3">
      <c r="A13" s="452"/>
      <c r="B13" s="449"/>
      <c r="C13" s="446"/>
    </row>
    <row r="14" spans="1:3">
      <c r="A14" s="453"/>
      <c r="B14" s="449"/>
      <c r="C14" s="447"/>
    </row>
    <row r="15" spans="1:3">
      <c r="A15" s="451" t="str">
        <f>'ORÇA '!B16</f>
        <v>III</v>
      </c>
      <c r="B15" s="448" t="str">
        <f>QUANT!D15</f>
        <v>ENSAIOS TECNOLÓGICOS DE SOLO E ASFALTO</v>
      </c>
      <c r="C15" s="445">
        <f>'ORÇA '!J20</f>
        <v>3966.55</v>
      </c>
    </row>
    <row r="16" spans="1:3">
      <c r="A16" s="452"/>
      <c r="B16" s="449"/>
      <c r="C16" s="446"/>
    </row>
    <row r="17" spans="1:3">
      <c r="A17" s="453"/>
      <c r="B17" s="450"/>
      <c r="C17" s="447"/>
    </row>
    <row r="18" spans="1:3" ht="12.75" customHeight="1">
      <c r="A18" s="451" t="str">
        <f>'ORÇA '!B22</f>
        <v>IV</v>
      </c>
      <c r="B18" s="463" t="str">
        <f>'ORÇA '!D22</f>
        <v>TERRAPLENAGEM</v>
      </c>
      <c r="C18" s="445">
        <f>'ORÇA '!J29</f>
        <v>56025.869999999995</v>
      </c>
    </row>
    <row r="19" spans="1:3" ht="7.5" customHeight="1">
      <c r="A19" s="452"/>
      <c r="B19" s="464"/>
      <c r="C19" s="446"/>
    </row>
    <row r="20" spans="1:3">
      <c r="A20" s="453"/>
      <c r="B20" s="465"/>
      <c r="C20" s="447"/>
    </row>
    <row r="21" spans="1:3" ht="12.75" customHeight="1">
      <c r="A21" s="451" t="str">
        <f>'ORÇA '!B31</f>
        <v>V</v>
      </c>
      <c r="B21" s="454" t="str">
        <f>QUANT!D30</f>
        <v>PAVIMENTAÇÃO</v>
      </c>
      <c r="C21" s="445">
        <f>'ORÇA '!J41</f>
        <v>151511.13</v>
      </c>
    </row>
    <row r="22" spans="1:3" ht="17.25" customHeight="1">
      <c r="A22" s="452"/>
      <c r="B22" s="455"/>
      <c r="C22" s="446"/>
    </row>
    <row r="23" spans="1:3" ht="17.25" customHeight="1">
      <c r="A23" s="453"/>
      <c r="B23" s="456"/>
      <c r="C23" s="447"/>
    </row>
    <row r="24" spans="1:3" ht="17.25" customHeight="1">
      <c r="A24" s="451" t="str">
        <f>'ORÇA '!B43</f>
        <v>VI</v>
      </c>
      <c r="B24" s="454" t="str">
        <f>'ORÇA '!D43</f>
        <v>SINALIZAÇÃO HORIZONTAL/VERTICAL</v>
      </c>
      <c r="C24" s="445">
        <f>'ORÇA '!J47</f>
        <v>6695.73</v>
      </c>
    </row>
    <row r="25" spans="1:3" ht="17.25" customHeight="1">
      <c r="A25" s="452"/>
      <c r="B25" s="455"/>
      <c r="C25" s="446"/>
    </row>
    <row r="26" spans="1:3" ht="17.25" customHeight="1">
      <c r="A26" s="453"/>
      <c r="B26" s="456"/>
      <c r="C26" s="447"/>
    </row>
    <row r="27" spans="1:3" ht="17.25" customHeight="1">
      <c r="A27" s="451" t="str">
        <f>'ORÇA '!B49</f>
        <v>VII</v>
      </c>
      <c r="B27" s="454" t="str">
        <f>'ORÇA '!D49</f>
        <v>OBRAS COMPLEMENTARES</v>
      </c>
      <c r="C27" s="445">
        <f>'ORÇA '!J52</f>
        <v>47091</v>
      </c>
    </row>
    <row r="28" spans="1:3" ht="17.25" customHeight="1">
      <c r="A28" s="452"/>
      <c r="B28" s="455"/>
      <c r="C28" s="446"/>
    </row>
    <row r="29" spans="1:3" ht="17.25" customHeight="1">
      <c r="A29" s="453"/>
      <c r="B29" s="456"/>
      <c r="C29" s="447"/>
    </row>
    <row r="30" spans="1:3" ht="9.9499999999999993" customHeight="1">
      <c r="A30" s="466" t="s">
        <v>28</v>
      </c>
      <c r="B30" s="467"/>
      <c r="C30" s="474">
        <f>SUM(C9:C29)</f>
        <v>307843.12</v>
      </c>
    </row>
    <row r="31" spans="1:3" ht="9.9499999999999993" customHeight="1">
      <c r="A31" s="468"/>
      <c r="B31" s="469"/>
      <c r="C31" s="475"/>
    </row>
    <row r="32" spans="1:3" ht="9.9499999999999993" customHeight="1">
      <c r="A32" s="470"/>
      <c r="B32" s="471"/>
      <c r="C32" s="476"/>
    </row>
    <row r="33" spans="1:5" ht="20.100000000000001" customHeight="1">
      <c r="A33" s="154" t="s">
        <v>228</v>
      </c>
      <c r="B33" s="155"/>
      <c r="C33" s="103">
        <f>'ORÇA '!I4/1000</f>
        <v>0.31777</v>
      </c>
      <c r="E33" s="400"/>
    </row>
    <row r="34" spans="1:5" ht="20.100000000000001" customHeight="1">
      <c r="A34" s="472" t="s">
        <v>227</v>
      </c>
      <c r="B34" s="473"/>
      <c r="C34" s="125">
        <f>C30/C33</f>
        <v>968760.80183780717</v>
      </c>
    </row>
    <row r="35" spans="1:5" ht="20.100000000000001" customHeight="1">
      <c r="A35" s="457" t="str">
        <f>QUANT!A2</f>
        <v>BAIRRO: JARDIM ESMERALDA</v>
      </c>
      <c r="B35" s="458"/>
      <c r="C35" s="459"/>
      <c r="E35">
        <v>9343949.0399999991</v>
      </c>
    </row>
    <row r="36" spans="1:5" ht="20.100000000000001" customHeight="1">
      <c r="A36" s="460" t="str">
        <f>QUANT!A3</f>
        <v>RUA: SETE</v>
      </c>
      <c r="B36" s="461"/>
      <c r="C36" s="462"/>
      <c r="E36" s="400">
        <f>E35-C30</f>
        <v>9036105.9199999999</v>
      </c>
    </row>
    <row r="37" spans="1:5" ht="20.100000000000001" customHeight="1" thickBot="1">
      <c r="A37" s="159" t="str">
        <f>QUANT!A4</f>
        <v>OBRA: PAVIMENTAÇÃO DE VIAS URBANAS</v>
      </c>
      <c r="B37" s="112"/>
      <c r="C37" s="113"/>
    </row>
    <row r="39" spans="1:5" ht="15.75">
      <c r="A39" s="66"/>
    </row>
    <row r="40" spans="1:5" ht="15.75">
      <c r="A40" s="66"/>
    </row>
  </sheetData>
  <mergeCells count="30">
    <mergeCell ref="A2:C2"/>
    <mergeCell ref="A3:C4"/>
    <mergeCell ref="B5:B7"/>
    <mergeCell ref="A5:A7"/>
    <mergeCell ref="A9:A11"/>
    <mergeCell ref="B9:B11"/>
    <mergeCell ref="C9:C11"/>
    <mergeCell ref="A35:C35"/>
    <mergeCell ref="A36:C36"/>
    <mergeCell ref="C21:C23"/>
    <mergeCell ref="A18:A20"/>
    <mergeCell ref="B18:B20"/>
    <mergeCell ref="A30:B32"/>
    <mergeCell ref="A34:B34"/>
    <mergeCell ref="C30:C32"/>
    <mergeCell ref="C12:C14"/>
    <mergeCell ref="B15:B17"/>
    <mergeCell ref="C15:C17"/>
    <mergeCell ref="A21:A23"/>
    <mergeCell ref="A27:A29"/>
    <mergeCell ref="C18:C20"/>
    <mergeCell ref="C27:C29"/>
    <mergeCell ref="C24:C26"/>
    <mergeCell ref="A12:A14"/>
    <mergeCell ref="B27:B29"/>
    <mergeCell ref="B12:B14"/>
    <mergeCell ref="B21:B23"/>
    <mergeCell ref="A24:A26"/>
    <mergeCell ref="B24:B26"/>
    <mergeCell ref="A15:A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104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9"/>
  <dimension ref="A1:I34"/>
  <sheetViews>
    <sheetView zoomScale="90" zoomScaleNormal="90" workbookViewId="0">
      <selection activeCell="I34" sqref="A1:I34"/>
    </sheetView>
  </sheetViews>
  <sheetFormatPr defaultRowHeight="12.75"/>
  <cols>
    <col min="1" max="1" width="8" customWidth="1"/>
    <col min="2" max="2" width="37.42578125" customWidth="1"/>
    <col min="3" max="4" width="8" customWidth="1"/>
    <col min="5" max="5" width="15.7109375" customWidth="1"/>
    <col min="6" max="6" width="8" customWidth="1"/>
    <col min="7" max="8" width="15.5703125" customWidth="1"/>
    <col min="9" max="9" width="19.85546875" customWidth="1"/>
  </cols>
  <sheetData>
    <row r="1" spans="1:9" ht="20.100000000000001" customHeight="1">
      <c r="A1" s="677" t="s">
        <v>77</v>
      </c>
      <c r="B1" s="678"/>
      <c r="C1" s="678"/>
      <c r="D1" s="679"/>
      <c r="E1" s="680"/>
      <c r="F1" s="680"/>
      <c r="G1" s="679"/>
      <c r="H1" s="680"/>
      <c r="I1" s="681"/>
    </row>
    <row r="2" spans="1:9" ht="20.100000000000001" customHeight="1">
      <c r="A2" s="685" t="str">
        <f>QUANT!A2</f>
        <v>BAIRRO: JARDIM ESMERALDA</v>
      </c>
      <c r="B2" s="686"/>
      <c r="C2" s="686"/>
      <c r="D2" s="686"/>
      <c r="E2" s="686"/>
      <c r="F2" s="686"/>
      <c r="G2" s="686"/>
      <c r="H2" s="686"/>
      <c r="I2" s="687"/>
    </row>
    <row r="3" spans="1:9" ht="20.100000000000001" customHeight="1">
      <c r="A3" s="688" t="str">
        <f>QUANT!A3</f>
        <v>RUA: SETE</v>
      </c>
      <c r="B3" s="689"/>
      <c r="C3" s="689"/>
      <c r="D3" s="689"/>
      <c r="E3" s="689"/>
      <c r="F3" s="689"/>
      <c r="G3" s="689"/>
      <c r="H3" s="689"/>
      <c r="I3" s="690"/>
    </row>
    <row r="4" spans="1:9" ht="20.100000000000001" customHeight="1">
      <c r="A4" s="691" t="s">
        <v>240</v>
      </c>
      <c r="B4" s="692"/>
      <c r="C4" s="692"/>
      <c r="D4" s="692"/>
      <c r="E4" s="692"/>
      <c r="F4" s="692"/>
      <c r="G4" s="692"/>
      <c r="H4" s="692"/>
      <c r="I4" s="693"/>
    </row>
    <row r="5" spans="1:9" ht="20.100000000000001" customHeight="1" thickBot="1">
      <c r="A5" s="711" t="s">
        <v>76</v>
      </c>
      <c r="B5" s="712"/>
      <c r="C5" s="712"/>
      <c r="D5" s="713"/>
      <c r="E5" s="712"/>
      <c r="F5" s="712"/>
      <c r="G5" s="713"/>
      <c r="H5" s="712"/>
      <c r="I5" s="714"/>
    </row>
    <row r="6" spans="1:9" ht="16.5" customHeight="1">
      <c r="A6" s="696" t="s">
        <v>162</v>
      </c>
      <c r="B6" s="697"/>
      <c r="C6" s="697"/>
      <c r="D6" s="697"/>
      <c r="E6" s="697"/>
      <c r="F6" s="697"/>
      <c r="G6" s="697"/>
      <c r="H6" s="697"/>
      <c r="I6" s="698"/>
    </row>
    <row r="7" spans="1:9" ht="16.5" customHeight="1" thickBot="1">
      <c r="A7" s="699"/>
      <c r="B7" s="700"/>
      <c r="C7" s="700"/>
      <c r="D7" s="700"/>
      <c r="E7" s="700"/>
      <c r="F7" s="700"/>
      <c r="G7" s="700"/>
      <c r="H7" s="700"/>
      <c r="I7" s="701"/>
    </row>
    <row r="8" spans="1:9" ht="15">
      <c r="A8" s="694" t="s">
        <v>29</v>
      </c>
      <c r="B8" s="702" t="s">
        <v>0</v>
      </c>
      <c r="C8" s="703"/>
      <c r="D8" s="704"/>
      <c r="E8" s="33" t="s">
        <v>61</v>
      </c>
      <c r="F8" s="33" t="s">
        <v>62</v>
      </c>
      <c r="G8" s="33" t="s">
        <v>63</v>
      </c>
      <c r="H8" s="33" t="s">
        <v>64</v>
      </c>
      <c r="I8" s="34" t="s">
        <v>65</v>
      </c>
    </row>
    <row r="9" spans="1:9" ht="15.75" thickBot="1">
      <c r="A9" s="695"/>
      <c r="B9" s="705"/>
      <c r="C9" s="706"/>
      <c r="D9" s="707"/>
      <c r="E9" s="35" t="s">
        <v>66</v>
      </c>
      <c r="F9" s="35" t="s">
        <v>67</v>
      </c>
      <c r="G9" s="35" t="s">
        <v>67</v>
      </c>
      <c r="H9" s="35" t="s">
        <v>67</v>
      </c>
      <c r="I9" s="36" t="s">
        <v>67</v>
      </c>
    </row>
    <row r="10" spans="1:9" ht="15">
      <c r="A10" s="28" t="s">
        <v>38</v>
      </c>
      <c r="B10" s="708" t="s">
        <v>68</v>
      </c>
      <c r="C10" s="709"/>
      <c r="D10" s="710"/>
      <c r="E10" s="29">
        <f>SUM(E11:E14)</f>
        <v>6.080000000000001</v>
      </c>
      <c r="F10" s="29"/>
      <c r="G10" s="30"/>
      <c r="H10" s="31"/>
      <c r="I10" s="32"/>
    </row>
    <row r="11" spans="1:9" ht="15">
      <c r="A11" s="11" t="s">
        <v>39</v>
      </c>
      <c r="B11" s="682" t="s">
        <v>69</v>
      </c>
      <c r="C11" s="683"/>
      <c r="D11" s="684"/>
      <c r="E11" s="8">
        <v>4.01</v>
      </c>
      <c r="F11" s="8"/>
      <c r="G11" s="8"/>
      <c r="H11" s="9"/>
      <c r="I11" s="10"/>
    </row>
    <row r="12" spans="1:9" ht="15">
      <c r="A12" s="11" t="s">
        <v>40</v>
      </c>
      <c r="B12" s="100" t="s">
        <v>97</v>
      </c>
      <c r="C12" s="98"/>
      <c r="D12" s="99"/>
      <c r="E12" s="8">
        <v>0.4</v>
      </c>
      <c r="F12" s="8"/>
      <c r="G12" s="8"/>
      <c r="H12" s="9"/>
      <c r="I12" s="10"/>
    </row>
    <row r="13" spans="1:9" ht="15">
      <c r="A13" s="11" t="s">
        <v>70</v>
      </c>
      <c r="B13" s="682" t="s">
        <v>59</v>
      </c>
      <c r="C13" s="683"/>
      <c r="D13" s="684"/>
      <c r="E13" s="8">
        <v>0.56000000000000005</v>
      </c>
      <c r="F13" s="8"/>
      <c r="G13" s="8"/>
      <c r="H13" s="9"/>
      <c r="I13" s="10"/>
    </row>
    <row r="14" spans="1:9" ht="15">
      <c r="A14" s="11" t="s">
        <v>96</v>
      </c>
      <c r="B14" s="682" t="s">
        <v>58</v>
      </c>
      <c r="C14" s="683"/>
      <c r="D14" s="684"/>
      <c r="E14" s="8">
        <v>1.1100000000000001</v>
      </c>
      <c r="F14" s="8"/>
      <c r="G14" s="8"/>
      <c r="H14" s="9"/>
      <c r="I14" s="10"/>
    </row>
    <row r="15" spans="1:9" ht="15">
      <c r="A15" s="12"/>
      <c r="B15" s="715"/>
      <c r="C15" s="716"/>
      <c r="D15" s="717"/>
      <c r="E15" s="13"/>
      <c r="F15" s="14"/>
      <c r="G15" s="13"/>
      <c r="H15" s="15"/>
      <c r="I15" s="16"/>
    </row>
    <row r="16" spans="1:9" ht="15">
      <c r="A16" s="6" t="s">
        <v>30</v>
      </c>
      <c r="B16" s="718" t="s">
        <v>71</v>
      </c>
      <c r="C16" s="683"/>
      <c r="D16" s="684"/>
      <c r="E16" s="7">
        <f>E17</f>
        <v>7.3</v>
      </c>
      <c r="F16" s="7"/>
      <c r="G16" s="8"/>
      <c r="H16" s="9"/>
      <c r="I16" s="10"/>
    </row>
    <row r="17" spans="1:9" ht="15">
      <c r="A17" s="11" t="s">
        <v>37</v>
      </c>
      <c r="B17" s="682" t="s">
        <v>72</v>
      </c>
      <c r="C17" s="683"/>
      <c r="D17" s="684"/>
      <c r="E17" s="8">
        <v>7.3</v>
      </c>
      <c r="F17" s="8"/>
      <c r="G17" s="8"/>
      <c r="H17" s="9"/>
      <c r="I17" s="10"/>
    </row>
    <row r="18" spans="1:9" ht="15">
      <c r="A18" s="17"/>
      <c r="B18" s="721"/>
      <c r="C18" s="722"/>
      <c r="D18" s="723"/>
      <c r="E18" s="18"/>
      <c r="F18" s="19"/>
      <c r="G18" s="18"/>
      <c r="H18" s="20"/>
      <c r="I18" s="21"/>
    </row>
    <row r="19" spans="1:9" ht="15">
      <c r="A19" s="6" t="s">
        <v>31</v>
      </c>
      <c r="B19" s="718" t="s">
        <v>73</v>
      </c>
      <c r="C19" s="683"/>
      <c r="D19" s="684"/>
      <c r="E19" s="7">
        <f>E20+E21+E23+E22</f>
        <v>8.65</v>
      </c>
      <c r="F19" s="7"/>
      <c r="G19" s="8"/>
      <c r="H19" s="22"/>
      <c r="I19" s="10"/>
    </row>
    <row r="20" spans="1:9" ht="15">
      <c r="A20" s="11" t="s">
        <v>36</v>
      </c>
      <c r="B20" s="682" t="s">
        <v>98</v>
      </c>
      <c r="C20" s="683"/>
      <c r="D20" s="684"/>
      <c r="E20" s="39">
        <v>0.65</v>
      </c>
      <c r="F20" s="8"/>
      <c r="G20" s="8"/>
      <c r="H20" s="22"/>
      <c r="I20" s="10"/>
    </row>
    <row r="21" spans="1:9" ht="15">
      <c r="A21" s="11" t="s">
        <v>32</v>
      </c>
      <c r="B21" s="682" t="s">
        <v>99</v>
      </c>
      <c r="C21" s="683"/>
      <c r="D21" s="684"/>
      <c r="E21" s="8">
        <v>3</v>
      </c>
      <c r="F21" s="8"/>
      <c r="G21" s="8"/>
      <c r="H21" s="22"/>
      <c r="I21" s="10"/>
    </row>
    <row r="22" spans="1:9" ht="15">
      <c r="A22" s="11" t="s">
        <v>43</v>
      </c>
      <c r="B22" s="682" t="s">
        <v>100</v>
      </c>
      <c r="C22" s="724"/>
      <c r="D22" s="725"/>
      <c r="E22" s="8">
        <v>5</v>
      </c>
      <c r="F22" s="8"/>
      <c r="G22" s="8"/>
      <c r="H22" s="22"/>
      <c r="I22" s="10"/>
    </row>
    <row r="23" spans="1:9" ht="15">
      <c r="A23" s="11" t="s">
        <v>44</v>
      </c>
      <c r="B23" s="682" t="s">
        <v>60</v>
      </c>
      <c r="C23" s="683"/>
      <c r="D23" s="684"/>
      <c r="E23" s="8">
        <v>0</v>
      </c>
      <c r="F23" s="8"/>
      <c r="G23" s="8"/>
      <c r="H23" s="9"/>
      <c r="I23" s="10"/>
    </row>
    <row r="24" spans="1:9">
      <c r="A24" s="11"/>
      <c r="B24" s="718" t="s">
        <v>74</v>
      </c>
      <c r="C24" s="683"/>
      <c r="D24" s="684"/>
      <c r="E24" s="23"/>
      <c r="F24" s="23"/>
      <c r="G24" s="24"/>
      <c r="H24" s="25"/>
      <c r="I24" s="26"/>
    </row>
    <row r="25" spans="1:9" ht="12.75" customHeight="1">
      <c r="A25" s="730" t="s">
        <v>75</v>
      </c>
      <c r="B25" s="731"/>
      <c r="C25" s="731"/>
      <c r="D25" s="732"/>
      <c r="E25" s="728">
        <f>TRUNC((((1+((E11+E12+E13)/100))*(1+((E14)/100))*(1+((E16/100)))/(1-((E20+E21+E22+E23)/100)))-1),4)</f>
        <v>0.24660000000000001</v>
      </c>
      <c r="F25" s="719"/>
      <c r="G25" s="719"/>
      <c r="H25" s="719"/>
      <c r="I25" s="726">
        <v>0</v>
      </c>
    </row>
    <row r="26" spans="1:9" ht="23.25" customHeight="1" thickBot="1">
      <c r="A26" s="733"/>
      <c r="B26" s="734"/>
      <c r="C26" s="734"/>
      <c r="D26" s="735"/>
      <c r="E26" s="729"/>
      <c r="F26" s="720"/>
      <c r="G26" s="720"/>
      <c r="H26" s="720"/>
      <c r="I26" s="727"/>
    </row>
    <row r="27" spans="1:9">
      <c r="A27" s="54"/>
      <c r="B27" s="55"/>
      <c r="C27" s="56"/>
      <c r="D27" s="56"/>
      <c r="E27" s="55"/>
      <c r="F27" s="57"/>
      <c r="G27" s="58"/>
      <c r="H27" s="58"/>
      <c r="I27" s="59"/>
    </row>
    <row r="28" spans="1:9" ht="12.75" customHeight="1">
      <c r="A28" s="37" t="s">
        <v>101</v>
      </c>
      <c r="B28" s="60"/>
      <c r="C28" s="27"/>
      <c r="D28" s="27"/>
      <c r="E28" s="27"/>
      <c r="F28" s="44"/>
      <c r="G28" s="47"/>
      <c r="H28" s="45"/>
      <c r="I28" s="46"/>
    </row>
    <row r="29" spans="1:9">
      <c r="A29" s="37"/>
      <c r="B29" s="27"/>
      <c r="C29" s="43"/>
      <c r="D29" s="43"/>
      <c r="E29" s="27"/>
      <c r="F29" s="44"/>
      <c r="G29" s="45"/>
      <c r="H29" s="45"/>
      <c r="I29" s="46"/>
    </row>
    <row r="30" spans="1:9" ht="15.75">
      <c r="A30" s="37"/>
      <c r="B30" s="27"/>
      <c r="C30" s="27"/>
      <c r="D30" s="27"/>
      <c r="E30" s="27"/>
      <c r="F30" s="44"/>
      <c r="G30" s="738"/>
      <c r="H30" s="738"/>
      <c r="I30" s="48"/>
    </row>
    <row r="31" spans="1:9" ht="15.75">
      <c r="A31" s="37"/>
      <c r="B31" s="736"/>
      <c r="C31" s="737"/>
      <c r="D31" s="737"/>
      <c r="E31" s="737"/>
      <c r="F31" s="49"/>
      <c r="G31" s="738"/>
      <c r="H31" s="738"/>
      <c r="I31" s="48"/>
    </row>
    <row r="32" spans="1:9" ht="15.75">
      <c r="A32" s="37"/>
      <c r="B32" s="737"/>
      <c r="C32" s="737"/>
      <c r="D32" s="737"/>
      <c r="E32" s="737"/>
      <c r="F32" s="44"/>
      <c r="G32" s="738"/>
      <c r="H32" s="738"/>
      <c r="I32" s="48"/>
    </row>
    <row r="33" spans="1:9" ht="15.75">
      <c r="A33" s="37"/>
      <c r="B33" s="740"/>
      <c r="C33" s="737"/>
      <c r="D33" s="737"/>
      <c r="E33" s="737"/>
      <c r="F33" s="44"/>
      <c r="G33" s="738"/>
      <c r="H33" s="739"/>
      <c r="I33" s="48"/>
    </row>
    <row r="34" spans="1:9" ht="13.5" thickBot="1">
      <c r="A34" s="38"/>
      <c r="B34" s="741"/>
      <c r="C34" s="741"/>
      <c r="D34" s="741"/>
      <c r="E34" s="741"/>
      <c r="F34" s="50"/>
      <c r="G34" s="51"/>
      <c r="H34" s="52"/>
      <c r="I34" s="53"/>
    </row>
  </sheetData>
  <mergeCells count="38">
    <mergeCell ref="B31:E32"/>
    <mergeCell ref="G32:G33"/>
    <mergeCell ref="H32:H33"/>
    <mergeCell ref="B33:E34"/>
    <mergeCell ref="G30:G31"/>
    <mergeCell ref="H30:H31"/>
    <mergeCell ref="I25:I26"/>
    <mergeCell ref="E25:E26"/>
    <mergeCell ref="B23:D23"/>
    <mergeCell ref="B24:D24"/>
    <mergeCell ref="A25:D26"/>
    <mergeCell ref="B15:D15"/>
    <mergeCell ref="B16:D16"/>
    <mergeCell ref="B17:D17"/>
    <mergeCell ref="B14:D14"/>
    <mergeCell ref="H25:H26"/>
    <mergeCell ref="F25:F26"/>
    <mergeCell ref="G25:G26"/>
    <mergeCell ref="B18:D18"/>
    <mergeCell ref="B19:D19"/>
    <mergeCell ref="B20:D20"/>
    <mergeCell ref="B21:D21"/>
    <mergeCell ref="B22:D22"/>
    <mergeCell ref="A1:C1"/>
    <mergeCell ref="D1:F1"/>
    <mergeCell ref="G1:I1"/>
    <mergeCell ref="B11:D11"/>
    <mergeCell ref="B13:D13"/>
    <mergeCell ref="A2:I2"/>
    <mergeCell ref="A3:I3"/>
    <mergeCell ref="A4:I4"/>
    <mergeCell ref="A8:A9"/>
    <mergeCell ref="A6:I7"/>
    <mergeCell ref="B8:D9"/>
    <mergeCell ref="B10:D10"/>
    <mergeCell ref="A5:C5"/>
    <mergeCell ref="D5:F5"/>
    <mergeCell ref="G5:I5"/>
  </mergeCells>
  <pageMargins left="0.511811024" right="0.511811024" top="0.78740157499999996" bottom="0.78740157499999996" header="0.31496062000000002" footer="0.31496062000000002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10"/>
  <dimension ref="A1:I34"/>
  <sheetViews>
    <sheetView zoomScale="84" zoomScaleNormal="84" workbookViewId="0">
      <selection activeCell="I34" sqref="A1:I34"/>
    </sheetView>
  </sheetViews>
  <sheetFormatPr defaultRowHeight="12.75"/>
  <cols>
    <col min="1" max="1" width="8" customWidth="1"/>
    <col min="2" max="2" width="37.42578125" customWidth="1"/>
    <col min="3" max="4" width="8" customWidth="1"/>
    <col min="5" max="5" width="15.7109375" customWidth="1"/>
    <col min="6" max="6" width="8" customWidth="1"/>
    <col min="7" max="8" width="15.5703125" customWidth="1"/>
    <col min="9" max="9" width="19.85546875" customWidth="1"/>
  </cols>
  <sheetData>
    <row r="1" spans="1:9" ht="20.100000000000001" customHeight="1">
      <c r="A1" s="748" t="s">
        <v>77</v>
      </c>
      <c r="B1" s="749"/>
      <c r="C1" s="749"/>
      <c r="D1" s="750"/>
      <c r="E1" s="749"/>
      <c r="F1" s="749"/>
      <c r="G1" s="750"/>
      <c r="H1" s="749"/>
      <c r="I1" s="751"/>
    </row>
    <row r="2" spans="1:9" ht="20.100000000000001" customHeight="1">
      <c r="A2" s="745" t="str">
        <f>QUANT!A2</f>
        <v>BAIRRO: JARDIM ESMERALDA</v>
      </c>
      <c r="B2" s="752"/>
      <c r="C2" s="752"/>
      <c r="D2" s="746"/>
      <c r="E2" s="752"/>
      <c r="F2" s="752"/>
      <c r="G2" s="746"/>
      <c r="H2" s="752"/>
      <c r="I2" s="753"/>
    </row>
    <row r="3" spans="1:9" ht="20.100000000000001" customHeight="1">
      <c r="A3" s="742" t="str">
        <f>QUANT!A3</f>
        <v>RUA: SETE</v>
      </c>
      <c r="B3" s="743"/>
      <c r="C3" s="743"/>
      <c r="D3" s="743"/>
      <c r="E3" s="743"/>
      <c r="F3" s="743"/>
      <c r="G3" s="743"/>
      <c r="H3" s="743"/>
      <c r="I3" s="744"/>
    </row>
    <row r="4" spans="1:9" ht="20.100000000000001" customHeight="1">
      <c r="A4" s="745" t="s">
        <v>240</v>
      </c>
      <c r="B4" s="746"/>
      <c r="C4" s="746"/>
      <c r="D4" s="746"/>
      <c r="E4" s="746"/>
      <c r="F4" s="746"/>
      <c r="G4" s="746"/>
      <c r="H4" s="746"/>
      <c r="I4" s="747"/>
    </row>
    <row r="5" spans="1:9" ht="20.100000000000001" customHeight="1" thickBot="1">
      <c r="A5" s="711" t="s">
        <v>76</v>
      </c>
      <c r="B5" s="712"/>
      <c r="C5" s="712"/>
      <c r="D5" s="713"/>
      <c r="E5" s="712"/>
      <c r="F5" s="712"/>
      <c r="G5" s="713"/>
      <c r="H5" s="712"/>
      <c r="I5" s="714"/>
    </row>
    <row r="6" spans="1:9" ht="16.5" customHeight="1">
      <c r="A6" s="696" t="s">
        <v>162</v>
      </c>
      <c r="B6" s="697"/>
      <c r="C6" s="697"/>
      <c r="D6" s="697"/>
      <c r="E6" s="697"/>
      <c r="F6" s="697"/>
      <c r="G6" s="697"/>
      <c r="H6" s="697"/>
      <c r="I6" s="698"/>
    </row>
    <row r="7" spans="1:9" ht="16.5" customHeight="1" thickBot="1">
      <c r="A7" s="699"/>
      <c r="B7" s="700"/>
      <c r="C7" s="700"/>
      <c r="D7" s="700"/>
      <c r="E7" s="700"/>
      <c r="F7" s="700"/>
      <c r="G7" s="700"/>
      <c r="H7" s="700"/>
      <c r="I7" s="701"/>
    </row>
    <row r="8" spans="1:9" ht="15">
      <c r="A8" s="694" t="s">
        <v>29</v>
      </c>
      <c r="B8" s="702" t="s">
        <v>0</v>
      </c>
      <c r="C8" s="703"/>
      <c r="D8" s="704"/>
      <c r="E8" s="33" t="s">
        <v>61</v>
      </c>
      <c r="F8" s="33" t="s">
        <v>62</v>
      </c>
      <c r="G8" s="33" t="s">
        <v>63</v>
      </c>
      <c r="H8" s="33" t="s">
        <v>64</v>
      </c>
      <c r="I8" s="34" t="s">
        <v>65</v>
      </c>
    </row>
    <row r="9" spans="1:9" ht="15.75" thickBot="1">
      <c r="A9" s="695"/>
      <c r="B9" s="705"/>
      <c r="C9" s="706"/>
      <c r="D9" s="707"/>
      <c r="E9" s="35" t="s">
        <v>66</v>
      </c>
      <c r="F9" s="35" t="s">
        <v>67</v>
      </c>
      <c r="G9" s="35" t="s">
        <v>67</v>
      </c>
      <c r="H9" s="35" t="s">
        <v>67</v>
      </c>
      <c r="I9" s="36" t="s">
        <v>67</v>
      </c>
    </row>
    <row r="10" spans="1:9" ht="15">
      <c r="A10" s="28" t="s">
        <v>38</v>
      </c>
      <c r="B10" s="708" t="s">
        <v>68</v>
      </c>
      <c r="C10" s="709"/>
      <c r="D10" s="710"/>
      <c r="E10" s="29">
        <f>SUM(E11:E14)</f>
        <v>5.63</v>
      </c>
      <c r="F10" s="29"/>
      <c r="G10" s="30"/>
      <c r="H10" s="31"/>
      <c r="I10" s="32"/>
    </row>
    <row r="11" spans="1:9" ht="15">
      <c r="A11" s="11" t="s">
        <v>39</v>
      </c>
      <c r="B11" s="682" t="s">
        <v>69</v>
      </c>
      <c r="C11" s="683"/>
      <c r="D11" s="684"/>
      <c r="E11" s="8">
        <v>3.45</v>
      </c>
      <c r="F11" s="8"/>
      <c r="G11" s="8"/>
      <c r="H11" s="9"/>
      <c r="I11" s="10"/>
    </row>
    <row r="12" spans="1:9" ht="15">
      <c r="A12" s="11" t="s">
        <v>40</v>
      </c>
      <c r="B12" s="134" t="s">
        <v>97</v>
      </c>
      <c r="C12" s="132"/>
      <c r="D12" s="133"/>
      <c r="E12" s="8">
        <v>0.48</v>
      </c>
      <c r="F12" s="8"/>
      <c r="G12" s="8"/>
      <c r="H12" s="9"/>
      <c r="I12" s="10"/>
    </row>
    <row r="13" spans="1:9" ht="15">
      <c r="A13" s="11" t="s">
        <v>70</v>
      </c>
      <c r="B13" s="682" t="s">
        <v>59</v>
      </c>
      <c r="C13" s="683"/>
      <c r="D13" s="684"/>
      <c r="E13" s="8">
        <v>0.85</v>
      </c>
      <c r="F13" s="8"/>
      <c r="G13" s="8"/>
      <c r="H13" s="9"/>
      <c r="I13" s="10"/>
    </row>
    <row r="14" spans="1:9" ht="15">
      <c r="A14" s="11" t="s">
        <v>96</v>
      </c>
      <c r="B14" s="682" t="s">
        <v>58</v>
      </c>
      <c r="C14" s="683"/>
      <c r="D14" s="684"/>
      <c r="E14" s="8">
        <v>0.85</v>
      </c>
      <c r="F14" s="8"/>
      <c r="G14" s="8"/>
      <c r="H14" s="9"/>
      <c r="I14" s="10"/>
    </row>
    <row r="15" spans="1:9" ht="15">
      <c r="A15" s="12"/>
      <c r="B15" s="715"/>
      <c r="C15" s="716"/>
      <c r="D15" s="717"/>
      <c r="E15" s="13"/>
      <c r="F15" s="14"/>
      <c r="G15" s="13"/>
      <c r="H15" s="15"/>
      <c r="I15" s="16"/>
    </row>
    <row r="16" spans="1:9" ht="15">
      <c r="A16" s="6" t="s">
        <v>30</v>
      </c>
      <c r="B16" s="718" t="s">
        <v>71</v>
      </c>
      <c r="C16" s="683"/>
      <c r="D16" s="684"/>
      <c r="E16" s="7">
        <f>E17</f>
        <v>5.1100000000000003</v>
      </c>
      <c r="F16" s="7"/>
      <c r="G16" s="8"/>
      <c r="H16" s="9"/>
      <c r="I16" s="10"/>
    </row>
    <row r="17" spans="1:9" ht="15">
      <c r="A17" s="11" t="s">
        <v>37</v>
      </c>
      <c r="B17" s="682" t="s">
        <v>72</v>
      </c>
      <c r="C17" s="683"/>
      <c r="D17" s="684"/>
      <c r="E17" s="8">
        <v>5.1100000000000003</v>
      </c>
      <c r="F17" s="8"/>
      <c r="G17" s="8"/>
      <c r="H17" s="9"/>
      <c r="I17" s="10"/>
    </row>
    <row r="18" spans="1:9" ht="15">
      <c r="A18" s="17"/>
      <c r="B18" s="721"/>
      <c r="C18" s="722"/>
      <c r="D18" s="723"/>
      <c r="E18" s="18"/>
      <c r="F18" s="19"/>
      <c r="G18" s="18"/>
      <c r="H18" s="20"/>
      <c r="I18" s="21"/>
    </row>
    <row r="19" spans="1:9" ht="15">
      <c r="A19" s="6" t="s">
        <v>31</v>
      </c>
      <c r="B19" s="718" t="s">
        <v>73</v>
      </c>
      <c r="C19" s="683"/>
      <c r="D19" s="684"/>
      <c r="E19" s="7">
        <f>E20+E21+E23+E22</f>
        <v>3.65</v>
      </c>
      <c r="F19" s="7"/>
      <c r="G19" s="8"/>
      <c r="H19" s="22"/>
      <c r="I19" s="10"/>
    </row>
    <row r="20" spans="1:9" ht="15">
      <c r="A20" s="11" t="s">
        <v>36</v>
      </c>
      <c r="B20" s="682" t="s">
        <v>98</v>
      </c>
      <c r="C20" s="683"/>
      <c r="D20" s="684"/>
      <c r="E20" s="39">
        <v>0.65</v>
      </c>
      <c r="F20" s="8"/>
      <c r="G20" s="8"/>
      <c r="H20" s="22"/>
      <c r="I20" s="10"/>
    </row>
    <row r="21" spans="1:9" ht="15">
      <c r="A21" s="11" t="s">
        <v>32</v>
      </c>
      <c r="B21" s="682" t="s">
        <v>99</v>
      </c>
      <c r="C21" s="683"/>
      <c r="D21" s="684"/>
      <c r="E21" s="8">
        <v>3</v>
      </c>
      <c r="F21" s="8"/>
      <c r="G21" s="8"/>
      <c r="H21" s="22"/>
      <c r="I21" s="10"/>
    </row>
    <row r="22" spans="1:9" ht="15">
      <c r="A22" s="11" t="s">
        <v>43</v>
      </c>
      <c r="B22" s="682" t="s">
        <v>100</v>
      </c>
      <c r="C22" s="724"/>
      <c r="D22" s="725"/>
      <c r="E22" s="8">
        <v>0</v>
      </c>
      <c r="F22" s="8"/>
      <c r="G22" s="8"/>
      <c r="H22" s="22"/>
      <c r="I22" s="10"/>
    </row>
    <row r="23" spans="1:9" ht="15">
      <c r="A23" s="11" t="s">
        <v>44</v>
      </c>
      <c r="B23" s="682" t="s">
        <v>60</v>
      </c>
      <c r="C23" s="683"/>
      <c r="D23" s="684"/>
      <c r="E23" s="8">
        <v>0</v>
      </c>
      <c r="F23" s="8"/>
      <c r="G23" s="8"/>
      <c r="H23" s="9"/>
      <c r="I23" s="10"/>
    </row>
    <row r="24" spans="1:9">
      <c r="A24" s="11"/>
      <c r="B24" s="718" t="s">
        <v>74</v>
      </c>
      <c r="C24" s="683"/>
      <c r="D24" s="684"/>
      <c r="E24" s="23"/>
      <c r="F24" s="23"/>
      <c r="G24" s="24"/>
      <c r="H24" s="25"/>
      <c r="I24" s="26"/>
    </row>
    <row r="25" spans="1:9" ht="12.75" customHeight="1">
      <c r="A25" s="730" t="s">
        <v>75</v>
      </c>
      <c r="B25" s="731"/>
      <c r="C25" s="731"/>
      <c r="D25" s="732"/>
      <c r="E25" s="728">
        <f>TRUNC(((((1+((E11+E12+E13)/100))*(1+((E14)/100))*(1+((E16/100)))/(1-((E20+E21+E22+E23)/100)))-1)),4)</f>
        <v>0.1527</v>
      </c>
      <c r="F25" s="719"/>
      <c r="G25" s="719"/>
      <c r="H25" s="719"/>
      <c r="I25" s="726">
        <v>0</v>
      </c>
    </row>
    <row r="26" spans="1:9" ht="23.25" customHeight="1" thickBot="1">
      <c r="A26" s="733"/>
      <c r="B26" s="734"/>
      <c r="C26" s="734"/>
      <c r="D26" s="735"/>
      <c r="E26" s="729"/>
      <c r="F26" s="720"/>
      <c r="G26" s="720"/>
      <c r="H26" s="720"/>
      <c r="I26" s="727"/>
    </row>
    <row r="27" spans="1:9">
      <c r="A27" s="54"/>
      <c r="B27" s="55"/>
      <c r="C27" s="56"/>
      <c r="D27" s="56"/>
      <c r="E27" s="55"/>
      <c r="F27" s="57"/>
      <c r="G27" s="58"/>
      <c r="H27" s="58"/>
      <c r="I27" s="59"/>
    </row>
    <row r="28" spans="1:9" ht="12.75" customHeight="1">
      <c r="A28" s="37" t="s">
        <v>101</v>
      </c>
      <c r="B28" s="60"/>
      <c r="C28" s="27"/>
      <c r="D28" s="27"/>
      <c r="E28" s="27"/>
      <c r="F28" s="44"/>
      <c r="G28" s="47"/>
      <c r="H28" s="45"/>
      <c r="I28" s="46"/>
    </row>
    <row r="29" spans="1:9">
      <c r="A29" s="37"/>
      <c r="B29" s="27"/>
      <c r="C29" s="43"/>
      <c r="D29" s="43"/>
      <c r="E29" s="27"/>
      <c r="F29" s="44"/>
      <c r="G29" s="45"/>
      <c r="H29" s="45"/>
      <c r="I29" s="46"/>
    </row>
    <row r="30" spans="1:9" ht="15.75">
      <c r="A30" s="37"/>
      <c r="B30" s="27"/>
      <c r="C30" s="27"/>
      <c r="D30" s="27"/>
      <c r="E30" s="27"/>
      <c r="F30" s="44"/>
      <c r="G30" s="738"/>
      <c r="H30" s="738"/>
      <c r="I30" s="48"/>
    </row>
    <row r="31" spans="1:9" ht="15.75">
      <c r="A31" s="37"/>
      <c r="B31" s="736"/>
      <c r="C31" s="737"/>
      <c r="D31" s="737"/>
      <c r="E31" s="737"/>
      <c r="F31" s="49"/>
      <c r="G31" s="738"/>
      <c r="H31" s="738"/>
      <c r="I31" s="48"/>
    </row>
    <row r="32" spans="1:9" ht="15.75">
      <c r="A32" s="37"/>
      <c r="B32" s="737"/>
      <c r="C32" s="737"/>
      <c r="D32" s="737"/>
      <c r="E32" s="737"/>
      <c r="F32" s="44"/>
      <c r="G32" s="738"/>
      <c r="H32" s="738"/>
      <c r="I32" s="48"/>
    </row>
    <row r="33" spans="1:9" ht="15.75">
      <c r="A33" s="37"/>
      <c r="B33" s="740"/>
      <c r="C33" s="737"/>
      <c r="D33" s="737"/>
      <c r="E33" s="737"/>
      <c r="F33" s="44"/>
      <c r="G33" s="738"/>
      <c r="H33" s="739"/>
      <c r="I33" s="48"/>
    </row>
    <row r="34" spans="1:9" ht="13.5" thickBot="1">
      <c r="A34" s="38"/>
      <c r="B34" s="741"/>
      <c r="C34" s="741"/>
      <c r="D34" s="741"/>
      <c r="E34" s="741"/>
      <c r="F34" s="50"/>
      <c r="G34" s="51"/>
      <c r="H34" s="52"/>
      <c r="I34" s="53"/>
    </row>
  </sheetData>
  <mergeCells count="40">
    <mergeCell ref="A3:I3"/>
    <mergeCell ref="A4:I4"/>
    <mergeCell ref="A1:C1"/>
    <mergeCell ref="D1:F1"/>
    <mergeCell ref="G1:I1"/>
    <mergeCell ref="A2:C2"/>
    <mergeCell ref="D2:F2"/>
    <mergeCell ref="G2:I2"/>
    <mergeCell ref="A5:C5"/>
    <mergeCell ref="D5:F5"/>
    <mergeCell ref="G5:I5"/>
    <mergeCell ref="A6:I7"/>
    <mergeCell ref="A8:A9"/>
    <mergeCell ref="B8:D9"/>
    <mergeCell ref="B22:D22"/>
    <mergeCell ref="B10:D10"/>
    <mergeCell ref="B11:D11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3:D23"/>
    <mergeCell ref="B24:D24"/>
    <mergeCell ref="A25:D26"/>
    <mergeCell ref="E25:E26"/>
    <mergeCell ref="F25:F26"/>
    <mergeCell ref="H25:H26"/>
    <mergeCell ref="I25:I26"/>
    <mergeCell ref="G30:G31"/>
    <mergeCell ref="H30:H31"/>
    <mergeCell ref="B31:E32"/>
    <mergeCell ref="G32:G33"/>
    <mergeCell ref="H32:H33"/>
    <mergeCell ref="B33:E34"/>
    <mergeCell ref="G25:G26"/>
  </mergeCells>
  <pageMargins left="0.511811024" right="0.511811024" top="0.78740157499999996" bottom="0.78740157499999996" header="0.31496062000000002" footer="0.31496062000000002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Plan16"/>
  <dimension ref="A1:L17"/>
  <sheetViews>
    <sheetView zoomScale="110" zoomScaleNormal="110" zoomScaleSheetLayoutView="100" workbookViewId="0">
      <selection activeCell="I22" sqref="I22"/>
    </sheetView>
  </sheetViews>
  <sheetFormatPr defaultRowHeight="12.75"/>
  <cols>
    <col min="1" max="1" width="40" customWidth="1"/>
    <col min="2" max="2" width="4.85546875" bestFit="1" customWidth="1"/>
    <col min="3" max="3" width="2.7109375" customWidth="1"/>
    <col min="4" max="4" width="6.5703125" customWidth="1"/>
    <col min="5" max="5" width="4.7109375" customWidth="1"/>
    <col min="6" max="6" width="2.7109375" customWidth="1"/>
    <col min="7" max="7" width="8.42578125" customWidth="1"/>
    <col min="8" max="10" width="11.7109375" customWidth="1"/>
    <col min="11" max="11" width="11" customWidth="1"/>
    <col min="12" max="12" width="18.85546875" customWidth="1"/>
    <col min="16" max="16" width="35" customWidth="1"/>
    <col min="17" max="17" width="3.7109375" customWidth="1"/>
    <col min="18" max="18" width="2.7109375" customWidth="1"/>
    <col min="19" max="19" width="6.5703125" customWidth="1"/>
    <col min="20" max="20" width="4.7109375" customWidth="1"/>
    <col min="21" max="21" width="2.7109375" customWidth="1"/>
    <col min="22" max="22" width="8.42578125" customWidth="1"/>
    <col min="23" max="24" width="11.7109375" customWidth="1"/>
    <col min="25" max="25" width="11" customWidth="1"/>
    <col min="26" max="26" width="16.7109375" customWidth="1"/>
  </cols>
  <sheetData>
    <row r="1" spans="1:12" ht="20.100000000000001" customHeight="1">
      <c r="A1" s="757" t="s">
        <v>232</v>
      </c>
      <c r="B1" s="758"/>
      <c r="C1" s="758"/>
      <c r="D1" s="758"/>
      <c r="E1" s="758"/>
      <c r="F1" s="758"/>
      <c r="G1" s="758"/>
      <c r="H1" s="758"/>
      <c r="I1" s="758"/>
      <c r="J1" s="758"/>
      <c r="K1" s="758"/>
      <c r="L1" s="759"/>
    </row>
    <row r="2" spans="1:12" ht="20.100000000000001" customHeight="1">
      <c r="A2" s="757" t="str">
        <f>QUANT!A2</f>
        <v>BAIRRO: JARDIM ESMERALDA</v>
      </c>
      <c r="B2" s="758"/>
      <c r="C2" s="758"/>
      <c r="D2" s="758"/>
      <c r="E2" s="758"/>
      <c r="F2" s="758"/>
      <c r="G2" s="758"/>
      <c r="H2" s="758"/>
      <c r="I2" s="758"/>
      <c r="J2" s="758"/>
      <c r="K2" s="758"/>
      <c r="L2" s="759"/>
    </row>
    <row r="3" spans="1:12" ht="24" customHeight="1">
      <c r="A3" s="754" t="str">
        <f>QUANT!A3</f>
        <v>RUA: SETE</v>
      </c>
      <c r="B3" s="755"/>
      <c r="C3" s="755"/>
      <c r="D3" s="755"/>
      <c r="E3" s="755"/>
      <c r="F3" s="755"/>
      <c r="G3" s="755"/>
      <c r="H3" s="755"/>
      <c r="I3" s="755"/>
      <c r="J3" s="755"/>
      <c r="K3" s="755"/>
      <c r="L3" s="756"/>
    </row>
    <row r="4" spans="1:12" ht="20.100000000000001" customHeight="1">
      <c r="A4" s="766" t="s">
        <v>321</v>
      </c>
      <c r="B4" s="767"/>
      <c r="C4" s="767"/>
      <c r="D4" s="767"/>
      <c r="E4" s="767"/>
      <c r="F4" s="767"/>
      <c r="G4" s="767"/>
      <c r="H4" s="767"/>
      <c r="I4" s="767"/>
      <c r="J4" s="767"/>
      <c r="K4" s="767"/>
      <c r="L4" s="768"/>
    </row>
    <row r="5" spans="1:12" ht="20.100000000000001" customHeight="1">
      <c r="A5" s="761" t="s">
        <v>46</v>
      </c>
      <c r="B5" s="763" t="s">
        <v>47</v>
      </c>
      <c r="C5" s="764"/>
      <c r="D5" s="764"/>
      <c r="E5" s="764"/>
      <c r="F5" s="764"/>
      <c r="G5" s="765"/>
      <c r="H5" s="776" t="s">
        <v>48</v>
      </c>
      <c r="I5" s="777"/>
      <c r="J5" s="778"/>
      <c r="K5" s="771" t="s">
        <v>234</v>
      </c>
      <c r="L5" s="769" t="s">
        <v>233</v>
      </c>
    </row>
    <row r="6" spans="1:12" ht="20.100000000000001" customHeight="1">
      <c r="A6" s="762"/>
      <c r="B6" s="773" t="s">
        <v>49</v>
      </c>
      <c r="C6" s="774"/>
      <c r="D6" s="775"/>
      <c r="E6" s="773" t="s">
        <v>50</v>
      </c>
      <c r="F6" s="774"/>
      <c r="G6" s="775"/>
      <c r="H6" s="355" t="s">
        <v>235</v>
      </c>
      <c r="I6" s="355" t="s">
        <v>236</v>
      </c>
      <c r="J6" s="355" t="s">
        <v>13</v>
      </c>
      <c r="K6" s="772"/>
      <c r="L6" s="770"/>
    </row>
    <row r="7" spans="1:12" s="135" customFormat="1" ht="15" customHeight="1">
      <c r="A7" s="415"/>
      <c r="B7" s="160">
        <v>0</v>
      </c>
      <c r="C7" s="434" t="s">
        <v>53</v>
      </c>
      <c r="D7" s="161">
        <v>0</v>
      </c>
      <c r="E7" s="160">
        <v>0</v>
      </c>
      <c r="F7" s="160" t="s">
        <v>53</v>
      </c>
      <c r="G7" s="162">
        <v>0</v>
      </c>
      <c r="H7" s="175">
        <f t="shared" ref="H7:H12" si="0">((E7-B7)*20+G7-D7)</f>
        <v>0</v>
      </c>
      <c r="I7" s="176">
        <f t="shared" ref="I7:I12" si="1">H7</f>
        <v>0</v>
      </c>
      <c r="J7" s="176">
        <f t="shared" ref="J7:J12" si="2">H7+I7</f>
        <v>0</v>
      </c>
      <c r="K7" s="177">
        <v>100</v>
      </c>
      <c r="L7" s="413"/>
    </row>
    <row r="8" spans="1:12" s="135" customFormat="1" ht="15" customHeight="1">
      <c r="A8" s="415"/>
      <c r="B8" s="160">
        <v>0</v>
      </c>
      <c r="C8" s="434" t="s">
        <v>53</v>
      </c>
      <c r="D8" s="161">
        <v>0</v>
      </c>
      <c r="E8" s="160">
        <v>0</v>
      </c>
      <c r="F8" s="160" t="s">
        <v>53</v>
      </c>
      <c r="G8" s="162">
        <v>0</v>
      </c>
      <c r="H8" s="175">
        <f t="shared" si="0"/>
        <v>0</v>
      </c>
      <c r="I8" s="176">
        <f t="shared" si="1"/>
        <v>0</v>
      </c>
      <c r="J8" s="176">
        <f t="shared" si="2"/>
        <v>0</v>
      </c>
      <c r="K8" s="177">
        <v>100</v>
      </c>
      <c r="L8" s="413"/>
    </row>
    <row r="9" spans="1:12" s="135" customFormat="1" ht="15" customHeight="1">
      <c r="A9" s="415"/>
      <c r="B9" s="160">
        <v>0</v>
      </c>
      <c r="C9" s="199" t="s">
        <v>53</v>
      </c>
      <c r="D9" s="200">
        <v>0</v>
      </c>
      <c r="E9" s="198">
        <v>0</v>
      </c>
      <c r="F9" s="198" t="s">
        <v>53</v>
      </c>
      <c r="G9" s="201">
        <v>0</v>
      </c>
      <c r="H9" s="175">
        <f t="shared" si="0"/>
        <v>0</v>
      </c>
      <c r="I9" s="176">
        <f t="shared" si="1"/>
        <v>0</v>
      </c>
      <c r="J9" s="176">
        <f t="shared" si="2"/>
        <v>0</v>
      </c>
      <c r="K9" s="177">
        <v>100</v>
      </c>
      <c r="L9" s="413"/>
    </row>
    <row r="10" spans="1:12" s="135" customFormat="1" ht="15" customHeight="1">
      <c r="A10" s="415"/>
      <c r="B10" s="160">
        <v>0</v>
      </c>
      <c r="C10" s="199" t="s">
        <v>53</v>
      </c>
      <c r="D10" s="200">
        <v>0</v>
      </c>
      <c r="E10" s="198">
        <v>0</v>
      </c>
      <c r="F10" s="198" t="s">
        <v>53</v>
      </c>
      <c r="G10" s="201">
        <v>0</v>
      </c>
      <c r="H10" s="175">
        <f t="shared" si="0"/>
        <v>0</v>
      </c>
      <c r="I10" s="176">
        <f t="shared" si="1"/>
        <v>0</v>
      </c>
      <c r="J10" s="176">
        <f t="shared" si="2"/>
        <v>0</v>
      </c>
      <c r="K10" s="177">
        <v>100</v>
      </c>
      <c r="L10" s="413"/>
    </row>
    <row r="11" spans="1:12" s="135" customFormat="1" ht="15" customHeight="1">
      <c r="A11" s="427"/>
      <c r="B11" s="160">
        <v>0</v>
      </c>
      <c r="C11" s="199" t="s">
        <v>53</v>
      </c>
      <c r="D11" s="200">
        <v>0</v>
      </c>
      <c r="E11" s="198">
        <v>0</v>
      </c>
      <c r="F11" s="198" t="s">
        <v>53</v>
      </c>
      <c r="G11" s="201">
        <v>0</v>
      </c>
      <c r="H11" s="175">
        <f t="shared" si="0"/>
        <v>0</v>
      </c>
      <c r="I11" s="176">
        <f t="shared" si="1"/>
        <v>0</v>
      </c>
      <c r="J11" s="176">
        <f t="shared" si="2"/>
        <v>0</v>
      </c>
      <c r="K11" s="177">
        <v>100</v>
      </c>
      <c r="L11" s="413"/>
    </row>
    <row r="12" spans="1:12" s="135" customFormat="1" ht="15" customHeight="1">
      <c r="A12" s="427"/>
      <c r="B12" s="160">
        <v>0</v>
      </c>
      <c r="C12" s="199" t="s">
        <v>53</v>
      </c>
      <c r="D12" s="200">
        <v>0</v>
      </c>
      <c r="E12" s="198">
        <v>0</v>
      </c>
      <c r="F12" s="198" t="s">
        <v>53</v>
      </c>
      <c r="G12" s="201">
        <v>0</v>
      </c>
      <c r="H12" s="175">
        <f t="shared" si="0"/>
        <v>0</v>
      </c>
      <c r="I12" s="176">
        <f t="shared" si="1"/>
        <v>0</v>
      </c>
      <c r="J12" s="176">
        <f t="shared" si="2"/>
        <v>0</v>
      </c>
      <c r="K12" s="177">
        <v>100</v>
      </c>
      <c r="L12" s="413"/>
    </row>
    <row r="13" spans="1:12" s="135" customFormat="1" ht="12">
      <c r="A13" s="382"/>
      <c r="B13" s="383"/>
      <c r="C13" s="384"/>
      <c r="D13" s="385"/>
      <c r="E13" s="383"/>
      <c r="F13" s="383"/>
      <c r="G13" s="386"/>
      <c r="H13" s="387"/>
      <c r="I13" s="388"/>
      <c r="J13" s="388"/>
      <c r="K13" s="389"/>
      <c r="L13" s="390"/>
    </row>
    <row r="14" spans="1:12" s="135" customFormat="1" ht="9" customHeight="1">
      <c r="A14" s="420" t="s">
        <v>329</v>
      </c>
      <c r="B14" s="167"/>
      <c r="C14" s="168"/>
      <c r="D14" s="169"/>
      <c r="E14" s="167"/>
      <c r="F14" s="168"/>
      <c r="G14" s="169"/>
      <c r="H14" s="170"/>
      <c r="I14" s="170"/>
      <c r="J14" s="170"/>
      <c r="K14" s="171"/>
      <c r="L14" s="172"/>
    </row>
    <row r="15" spans="1:12" ht="20.100000000000001" customHeight="1">
      <c r="A15" s="166" t="s">
        <v>248</v>
      </c>
      <c r="B15" s="760"/>
      <c r="C15" s="760"/>
      <c r="D15" s="760"/>
      <c r="E15" s="760"/>
      <c r="F15" s="760"/>
      <c r="G15" s="760"/>
      <c r="H15" s="174"/>
      <c r="I15" s="174"/>
      <c r="J15" s="174">
        <f>SUM(J7:J12)</f>
        <v>0</v>
      </c>
      <c r="K15" s="393" t="s">
        <v>6</v>
      </c>
      <c r="L15" s="173"/>
    </row>
    <row r="17" spans="9:11">
      <c r="I17" s="62" t="s">
        <v>328</v>
      </c>
      <c r="J17" s="62">
        <f>J15*1.5*0.5</f>
        <v>0</v>
      </c>
      <c r="K17" s="62" t="s">
        <v>4</v>
      </c>
    </row>
  </sheetData>
  <mergeCells count="12">
    <mergeCell ref="A3:L3"/>
    <mergeCell ref="A1:L1"/>
    <mergeCell ref="A2:L2"/>
    <mergeCell ref="B15:G15"/>
    <mergeCell ref="A5:A6"/>
    <mergeCell ref="B5:G5"/>
    <mergeCell ref="A4:L4"/>
    <mergeCell ref="L5:L6"/>
    <mergeCell ref="K5:K6"/>
    <mergeCell ref="B6:D6"/>
    <mergeCell ref="E6:G6"/>
    <mergeCell ref="H5:J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I53"/>
  <sheetViews>
    <sheetView zoomScale="90" zoomScaleNormal="90" zoomScaleSheetLayoutView="110" workbookViewId="0">
      <pane ySplit="5" topLeftCell="A18" activePane="bottomLeft" state="frozen"/>
      <selection pane="bottomLeft" activeCell="B16" sqref="B16"/>
    </sheetView>
  </sheetViews>
  <sheetFormatPr defaultRowHeight="12.75"/>
  <cols>
    <col min="1" max="1" width="7.140625" customWidth="1"/>
    <col min="2" max="2" width="18.28515625" style="4" customWidth="1"/>
    <col min="3" max="3" width="11.140625" bestFit="1" customWidth="1"/>
    <col min="4" max="4" width="84" customWidth="1"/>
    <col min="5" max="5" width="9.5703125" customWidth="1"/>
    <col min="6" max="6" width="13.5703125" style="111" bestFit="1" customWidth="1"/>
    <col min="8" max="8" width="11.28515625" style="4" customWidth="1"/>
    <col min="9" max="9" width="11.140625" bestFit="1" customWidth="1"/>
  </cols>
  <sheetData>
    <row r="1" spans="1:9" ht="20.100000000000001" customHeight="1">
      <c r="A1" s="486" t="s">
        <v>77</v>
      </c>
      <c r="B1" s="486"/>
      <c r="C1" s="486"/>
      <c r="D1" s="486"/>
      <c r="E1" s="486"/>
      <c r="F1" s="485" t="s">
        <v>35</v>
      </c>
      <c r="H1"/>
    </row>
    <row r="2" spans="1:9" ht="20.100000000000001" customHeight="1">
      <c r="A2" s="487" t="s">
        <v>337</v>
      </c>
      <c r="B2" s="487"/>
      <c r="C2" s="487"/>
      <c r="D2" s="487"/>
      <c r="E2" s="487"/>
      <c r="F2" s="485"/>
      <c r="H2"/>
    </row>
    <row r="3" spans="1:9" ht="20.100000000000001" customHeight="1">
      <c r="A3" s="488" t="s">
        <v>346</v>
      </c>
      <c r="B3" s="488"/>
      <c r="C3" s="488"/>
      <c r="D3" s="488"/>
      <c r="E3" s="488"/>
      <c r="F3" s="279">
        <f>'TERRAP E PAVIM'!T11</f>
        <v>1518.19</v>
      </c>
      <c r="H3"/>
    </row>
    <row r="4" spans="1:9" ht="20.100000000000001" customHeight="1">
      <c r="A4" s="488" t="s">
        <v>230</v>
      </c>
      <c r="B4" s="488"/>
      <c r="C4" s="488"/>
      <c r="D4" s="488"/>
      <c r="E4" s="488"/>
      <c r="F4" s="280"/>
      <c r="H4"/>
    </row>
    <row r="5" spans="1:9" s="62" customFormat="1" ht="15" customHeight="1">
      <c r="A5" s="246" t="s">
        <v>29</v>
      </c>
      <c r="B5" s="246" t="s">
        <v>113</v>
      </c>
      <c r="C5" s="247" t="s">
        <v>114</v>
      </c>
      <c r="D5" s="247" t="s">
        <v>0</v>
      </c>
      <c r="E5" s="247" t="s">
        <v>1</v>
      </c>
      <c r="F5" s="281" t="s">
        <v>2</v>
      </c>
      <c r="H5" s="83" t="s">
        <v>113</v>
      </c>
      <c r="I5" s="82" t="s">
        <v>114</v>
      </c>
    </row>
    <row r="6" spans="1:9" s="62" customFormat="1" ht="15" customHeight="1">
      <c r="A6" s="246" t="s">
        <v>38</v>
      </c>
      <c r="B6" s="246" t="s">
        <v>183</v>
      </c>
      <c r="C6" s="248"/>
      <c r="D6" s="88" t="s">
        <v>184</v>
      </c>
      <c r="E6" s="247"/>
      <c r="F6" s="281"/>
      <c r="H6" s="83" t="s">
        <v>183</v>
      </c>
      <c r="I6" s="152"/>
    </row>
    <row r="7" spans="1:9" ht="15" customHeight="1">
      <c r="A7" s="249" t="s">
        <v>39</v>
      </c>
      <c r="B7" s="86" t="s">
        <v>253</v>
      </c>
      <c r="C7" s="86" t="s">
        <v>245</v>
      </c>
      <c r="D7" s="87" t="s">
        <v>107</v>
      </c>
      <c r="E7" s="86" t="s">
        <v>5</v>
      </c>
      <c r="F7" s="377">
        <v>12.5</v>
      </c>
      <c r="H7" s="86" t="s">
        <v>106</v>
      </c>
      <c r="I7" s="86" t="s">
        <v>115</v>
      </c>
    </row>
    <row r="8" spans="1:9" s="5" customFormat="1" ht="15" customHeight="1">
      <c r="A8" s="249" t="s">
        <v>40</v>
      </c>
      <c r="B8" s="86">
        <v>93584</v>
      </c>
      <c r="C8" s="86" t="s">
        <v>115</v>
      </c>
      <c r="D8" s="87" t="s">
        <v>111</v>
      </c>
      <c r="E8" s="86" t="s">
        <v>5</v>
      </c>
      <c r="F8" s="378">
        <v>15</v>
      </c>
      <c r="H8" s="86">
        <v>93584</v>
      </c>
      <c r="I8" s="86" t="s">
        <v>115</v>
      </c>
    </row>
    <row r="9" spans="1:9" ht="36">
      <c r="A9" s="86" t="s">
        <v>70</v>
      </c>
      <c r="B9" s="86" t="s">
        <v>254</v>
      </c>
      <c r="C9" s="86" t="s">
        <v>245</v>
      </c>
      <c r="D9" s="91" t="s">
        <v>41</v>
      </c>
      <c r="E9" s="86" t="s">
        <v>42</v>
      </c>
      <c r="F9" s="377">
        <v>6</v>
      </c>
      <c r="H9" s="86" t="s">
        <v>243</v>
      </c>
      <c r="I9" s="86" t="s">
        <v>115</v>
      </c>
    </row>
    <row r="10" spans="1:9" s="5" customFormat="1" ht="15" customHeight="1">
      <c r="A10" s="86" t="s">
        <v>96</v>
      </c>
      <c r="B10" s="86">
        <v>5213417</v>
      </c>
      <c r="C10" s="86" t="s">
        <v>116</v>
      </c>
      <c r="D10" s="87" t="s">
        <v>112</v>
      </c>
      <c r="E10" s="86" t="s">
        <v>5</v>
      </c>
      <c r="F10" s="406">
        <v>3.125</v>
      </c>
      <c r="H10" s="86">
        <v>5213417</v>
      </c>
      <c r="I10" s="86" t="s">
        <v>116</v>
      </c>
    </row>
    <row r="11" spans="1:9" s="5" customFormat="1">
      <c r="A11" s="249"/>
      <c r="B11" s="86"/>
      <c r="C11" s="86"/>
      <c r="D11" s="86"/>
      <c r="E11" s="183"/>
      <c r="F11" s="377"/>
      <c r="H11" s="86"/>
      <c r="I11" s="86"/>
    </row>
    <row r="12" spans="1:9" ht="15" customHeight="1">
      <c r="A12" s="148" t="s">
        <v>30</v>
      </c>
      <c r="B12" s="148" t="s">
        <v>23</v>
      </c>
      <c r="C12" s="88"/>
      <c r="D12" s="88" t="s">
        <v>110</v>
      </c>
      <c r="E12" s="88"/>
      <c r="F12" s="379"/>
      <c r="H12" s="148" t="s">
        <v>23</v>
      </c>
      <c r="I12" s="88"/>
    </row>
    <row r="13" spans="1:9" ht="43.5" customHeight="1">
      <c r="A13" s="86" t="s">
        <v>37</v>
      </c>
      <c r="B13" s="421" t="s">
        <v>255</v>
      </c>
      <c r="C13" s="86" t="s">
        <v>245</v>
      </c>
      <c r="D13" s="87" t="s">
        <v>246</v>
      </c>
      <c r="E13" s="86" t="s">
        <v>167</v>
      </c>
      <c r="F13" s="378">
        <v>1</v>
      </c>
      <c r="H13" s="86" t="s">
        <v>244</v>
      </c>
      <c r="I13" s="86" t="s">
        <v>245</v>
      </c>
    </row>
    <row r="14" spans="1:9">
      <c r="A14" s="86"/>
      <c r="B14" s="86"/>
      <c r="C14" s="86"/>
      <c r="D14" s="87"/>
      <c r="E14" s="89"/>
      <c r="F14" s="377"/>
      <c r="H14" s="86"/>
      <c r="I14" s="86"/>
    </row>
    <row r="15" spans="1:9" ht="15" customHeight="1">
      <c r="A15" s="84" t="s">
        <v>31</v>
      </c>
      <c r="B15" s="84" t="s">
        <v>24</v>
      </c>
      <c r="C15" s="86"/>
      <c r="D15" s="88" t="s">
        <v>102</v>
      </c>
      <c r="E15" s="85"/>
      <c r="F15" s="377"/>
      <c r="H15" s="84" t="s">
        <v>24</v>
      </c>
      <c r="I15" s="86"/>
    </row>
    <row r="16" spans="1:9" s="62" customFormat="1" ht="15" customHeight="1">
      <c r="A16" s="86" t="s">
        <v>36</v>
      </c>
      <c r="B16" s="86" t="s">
        <v>256</v>
      </c>
      <c r="C16" s="86" t="s">
        <v>245</v>
      </c>
      <c r="D16" s="87" t="s">
        <v>104</v>
      </c>
      <c r="E16" s="86" t="s">
        <v>5</v>
      </c>
      <c r="F16" s="377">
        <f>TRUNC('TERRAP E PAVIM'!P11,2)</f>
        <v>2026.62</v>
      </c>
      <c r="H16" s="86" t="s">
        <v>103</v>
      </c>
      <c r="I16" s="86" t="s">
        <v>115</v>
      </c>
    </row>
    <row r="17" spans="1:9" ht="15" customHeight="1">
      <c r="A17" s="86" t="s">
        <v>32</v>
      </c>
      <c r="B17" s="86" t="s">
        <v>260</v>
      </c>
      <c r="C17" s="86" t="s">
        <v>245</v>
      </c>
      <c r="D17" s="87" t="s">
        <v>164</v>
      </c>
      <c r="E17" s="86" t="s">
        <v>4</v>
      </c>
      <c r="F17" s="377">
        <f>TRUNC('TERRAP E PAVIM'!R11,2)</f>
        <v>303.99</v>
      </c>
      <c r="H17" s="86" t="s">
        <v>105</v>
      </c>
      <c r="I17" s="86" t="s">
        <v>115</v>
      </c>
    </row>
    <row r="18" spans="1:9" ht="15" customHeight="1">
      <c r="A18" s="86" t="s">
        <v>43</v>
      </c>
      <c r="B18" s="86" t="s">
        <v>257</v>
      </c>
      <c r="C18" s="86" t="s">
        <v>245</v>
      </c>
      <c r="D18" s="87" t="s">
        <v>165</v>
      </c>
      <c r="E18" s="86" t="s">
        <v>4</v>
      </c>
      <c r="F18" s="377">
        <f>TRUNC('TERRAP E PAVIM'!S11,2)</f>
        <v>303.99</v>
      </c>
      <c r="H18" s="86" t="s">
        <v>105</v>
      </c>
      <c r="I18" s="86" t="s">
        <v>115</v>
      </c>
    </row>
    <row r="19" spans="1:9" s="5" customFormat="1" ht="25.5" customHeight="1">
      <c r="A19" s="86" t="s">
        <v>44</v>
      </c>
      <c r="B19" s="86" t="s">
        <v>258</v>
      </c>
      <c r="C19" s="86" t="s">
        <v>245</v>
      </c>
      <c r="D19" s="91" t="s">
        <v>205</v>
      </c>
      <c r="E19" s="86" t="s">
        <v>167</v>
      </c>
      <c r="F19" s="377">
        <f>ROUND(('TERRAP E PAVIM'!W11+'TERRAP E PAVIM'!X11)/200,0)</f>
        <v>3</v>
      </c>
      <c r="H19" s="86" t="s">
        <v>166</v>
      </c>
      <c r="I19" s="86" t="s">
        <v>115</v>
      </c>
    </row>
    <row r="20" spans="1:9" s="5" customFormat="1" ht="14.25">
      <c r="A20" s="247"/>
      <c r="B20" s="86"/>
      <c r="C20" s="86"/>
      <c r="D20" s="183"/>
      <c r="E20" s="183"/>
      <c r="F20" s="380"/>
      <c r="H20" s="86"/>
      <c r="I20" s="86"/>
    </row>
    <row r="21" spans="1:9" s="5" customFormat="1" ht="15" customHeight="1">
      <c r="A21" s="148" t="s">
        <v>33</v>
      </c>
      <c r="B21" s="148" t="s">
        <v>229</v>
      </c>
      <c r="C21" s="88"/>
      <c r="D21" s="88" t="s">
        <v>3</v>
      </c>
      <c r="E21" s="88"/>
      <c r="F21" s="379"/>
      <c r="H21" s="148" t="s">
        <v>229</v>
      </c>
      <c r="I21" s="88"/>
    </row>
    <row r="22" spans="1:9" s="5" customFormat="1" ht="15" customHeight="1">
      <c r="A22" s="86" t="s">
        <v>34</v>
      </c>
      <c r="B22" s="86" t="s">
        <v>252</v>
      </c>
      <c r="C22" s="86" t="s">
        <v>245</v>
      </c>
      <c r="D22" s="87" t="s">
        <v>79</v>
      </c>
      <c r="E22" s="183" t="s">
        <v>5</v>
      </c>
      <c r="F22" s="377">
        <f>TRUNC('TERRAP E PAVIM'!M11,2)</f>
        <v>953.31</v>
      </c>
      <c r="H22" s="86" t="s">
        <v>80</v>
      </c>
      <c r="I22" s="86" t="s">
        <v>115</v>
      </c>
    </row>
    <row r="23" spans="1:9" s="5" customFormat="1" ht="25.5">
      <c r="A23" s="86" t="s">
        <v>152</v>
      </c>
      <c r="B23" s="86">
        <v>5502109</v>
      </c>
      <c r="C23" s="86" t="s">
        <v>116</v>
      </c>
      <c r="D23" s="282" t="s">
        <v>250</v>
      </c>
      <c r="E23" s="149" t="s">
        <v>4</v>
      </c>
      <c r="F23" s="377">
        <f>TRUNC('TERRAP E PAVIM'!O11*1.2,2)</f>
        <v>32.130000000000003</v>
      </c>
      <c r="H23" s="86">
        <v>100978</v>
      </c>
      <c r="I23" s="86" t="s">
        <v>115</v>
      </c>
    </row>
    <row r="24" spans="1:9" s="5" customFormat="1" ht="15" customHeight="1">
      <c r="A24" s="86" t="s">
        <v>218</v>
      </c>
      <c r="B24" s="86">
        <v>5503041</v>
      </c>
      <c r="C24" s="86" t="s">
        <v>116</v>
      </c>
      <c r="D24" s="283" t="s">
        <v>241</v>
      </c>
      <c r="E24" s="149" t="s">
        <v>4</v>
      </c>
      <c r="F24" s="377">
        <f>TRUNC('TERRAP E PAVIM'!O11,2)</f>
        <v>26.78</v>
      </c>
      <c r="H24" s="86">
        <v>5503041</v>
      </c>
      <c r="I24" s="86" t="s">
        <v>116</v>
      </c>
    </row>
    <row r="25" spans="1:9" s="5" customFormat="1" ht="22.5" customHeight="1">
      <c r="A25" s="86" t="s">
        <v>148</v>
      </c>
      <c r="B25" s="86">
        <v>100978</v>
      </c>
      <c r="C25" s="86" t="s">
        <v>115</v>
      </c>
      <c r="D25" s="284" t="s">
        <v>251</v>
      </c>
      <c r="E25" s="86" t="s">
        <v>4</v>
      </c>
      <c r="F25" s="377">
        <f>TRUNC('TERRAP E PAVIM'!N11-F23,2)</f>
        <v>754.09</v>
      </c>
      <c r="H25" s="86" t="s">
        <v>207</v>
      </c>
      <c r="I25" s="86" t="s">
        <v>115</v>
      </c>
    </row>
    <row r="26" spans="1:9" ht="25.5">
      <c r="A26" s="86" t="s">
        <v>153</v>
      </c>
      <c r="B26" s="86">
        <v>93595</v>
      </c>
      <c r="C26" s="86" t="s">
        <v>115</v>
      </c>
      <c r="D26" s="282" t="s">
        <v>208</v>
      </c>
      <c r="E26" s="86" t="s">
        <v>45</v>
      </c>
      <c r="F26" s="377">
        <f>TRUNC(TRANSP!J7,2)</f>
        <v>2332.96</v>
      </c>
      <c r="H26" s="86">
        <v>93595</v>
      </c>
      <c r="I26" s="86" t="s">
        <v>115</v>
      </c>
    </row>
    <row r="27" spans="1:9" ht="25.5">
      <c r="A27" s="86" t="s">
        <v>239</v>
      </c>
      <c r="B27" s="86">
        <v>95878</v>
      </c>
      <c r="C27" s="86" t="s">
        <v>115</v>
      </c>
      <c r="D27" s="282" t="s">
        <v>149</v>
      </c>
      <c r="E27" s="86" t="s">
        <v>45</v>
      </c>
      <c r="F27" s="377">
        <f>TRUNC(TRANSP!J12,2)</f>
        <v>22863.06</v>
      </c>
      <c r="H27" s="86">
        <v>95878</v>
      </c>
      <c r="I27" s="86" t="s">
        <v>115</v>
      </c>
    </row>
    <row r="28" spans="1:9" ht="15" customHeight="1">
      <c r="A28" s="86" t="s">
        <v>242</v>
      </c>
      <c r="B28" s="86" t="s">
        <v>259</v>
      </c>
      <c r="C28" s="86" t="s">
        <v>245</v>
      </c>
      <c r="D28" s="87" t="s">
        <v>204</v>
      </c>
      <c r="E28" s="86" t="s">
        <v>4</v>
      </c>
      <c r="F28" s="377">
        <f>F25</f>
        <v>754.09</v>
      </c>
      <c r="H28" s="86">
        <v>83344</v>
      </c>
      <c r="I28" s="86" t="s">
        <v>115</v>
      </c>
    </row>
    <row r="29" spans="1:9">
      <c r="A29" s="422" t="s">
        <v>206</v>
      </c>
      <c r="B29" s="86"/>
      <c r="C29" s="86"/>
      <c r="D29" s="90"/>
      <c r="E29" s="183"/>
      <c r="F29" s="377"/>
      <c r="H29" s="86"/>
      <c r="I29" s="86"/>
    </row>
    <row r="30" spans="1:9" ht="15" customHeight="1">
      <c r="A30" s="247" t="s">
        <v>209</v>
      </c>
      <c r="B30" s="84" t="s">
        <v>225</v>
      </c>
      <c r="C30" s="86"/>
      <c r="D30" s="285" t="s">
        <v>168</v>
      </c>
      <c r="E30" s="183"/>
      <c r="F30" s="377"/>
      <c r="H30" s="84" t="s">
        <v>225</v>
      </c>
      <c r="I30" s="86"/>
    </row>
    <row r="31" spans="1:9">
      <c r="A31" s="86" t="s">
        <v>210</v>
      </c>
      <c r="B31" s="86" t="s">
        <v>323</v>
      </c>
      <c r="C31" s="86" t="s">
        <v>245</v>
      </c>
      <c r="D31" s="366" t="s">
        <v>81</v>
      </c>
      <c r="E31" s="67" t="s">
        <v>5</v>
      </c>
      <c r="F31" s="381">
        <f>TRUNC('TERRAP E PAVIM'!P11,2)</f>
        <v>2026.62</v>
      </c>
      <c r="H31" s="153">
        <v>72961</v>
      </c>
      <c r="I31" s="153" t="s">
        <v>115</v>
      </c>
    </row>
    <row r="32" spans="1:9">
      <c r="A32" s="86" t="s">
        <v>211</v>
      </c>
      <c r="B32" s="423" t="s">
        <v>324</v>
      </c>
      <c r="C32" s="423" t="s">
        <v>307</v>
      </c>
      <c r="D32" s="367" t="s">
        <v>308</v>
      </c>
      <c r="E32" s="153" t="s">
        <v>4</v>
      </c>
      <c r="F32" s="381">
        <f>TRUNC('TERRAP E PAVIM'!R15,2)</f>
        <v>729.57</v>
      </c>
      <c r="H32" s="153" t="s">
        <v>309</v>
      </c>
      <c r="I32" s="153" t="s">
        <v>310</v>
      </c>
    </row>
    <row r="33" spans="1:9" ht="24">
      <c r="A33" s="86" t="s">
        <v>238</v>
      </c>
      <c r="B33" s="86" t="s">
        <v>330</v>
      </c>
      <c r="C33" s="86" t="s">
        <v>245</v>
      </c>
      <c r="D33" s="368" t="s">
        <v>311</v>
      </c>
      <c r="E33" s="153" t="s">
        <v>4</v>
      </c>
      <c r="F33" s="381">
        <f>TRUNC('TERRAP E PAVIM'!R11,2)</f>
        <v>303.99</v>
      </c>
      <c r="H33" s="153" t="s">
        <v>82</v>
      </c>
      <c r="I33" s="153" t="s">
        <v>115</v>
      </c>
    </row>
    <row r="34" spans="1:9" ht="24">
      <c r="A34" s="86" t="s">
        <v>212</v>
      </c>
      <c r="B34" s="86" t="s">
        <v>325</v>
      </c>
      <c r="C34" s="86" t="s">
        <v>245</v>
      </c>
      <c r="D34" s="368" t="s">
        <v>312</v>
      </c>
      <c r="E34" s="153" t="s">
        <v>4</v>
      </c>
      <c r="F34" s="381">
        <f>TRUNC('TERRAP E PAVIM'!S11,2)</f>
        <v>303.99</v>
      </c>
      <c r="G34" s="3"/>
      <c r="H34" s="153" t="s">
        <v>82</v>
      </c>
      <c r="I34" s="153" t="s">
        <v>115</v>
      </c>
    </row>
    <row r="35" spans="1:9" s="3" customFormat="1">
      <c r="A35" s="86" t="s">
        <v>213</v>
      </c>
      <c r="B35" s="86">
        <v>4011352</v>
      </c>
      <c r="C35" s="86" t="s">
        <v>116</v>
      </c>
      <c r="D35" s="368" t="s">
        <v>327</v>
      </c>
      <c r="E35" s="67" t="s">
        <v>5</v>
      </c>
      <c r="F35" s="381">
        <f>TRUNC('TERRAP E PAVIM'!T11,2)</f>
        <v>1518.19</v>
      </c>
      <c r="H35" s="153">
        <v>96401</v>
      </c>
      <c r="I35" s="153" t="s">
        <v>115</v>
      </c>
    </row>
    <row r="36" spans="1:9" s="3" customFormat="1">
      <c r="A36" s="86" t="s">
        <v>214</v>
      </c>
      <c r="B36" s="86" t="s">
        <v>331</v>
      </c>
      <c r="C36" s="86" t="s">
        <v>245</v>
      </c>
      <c r="D36" s="366" t="s">
        <v>169</v>
      </c>
      <c r="E36" s="67" t="s">
        <v>5</v>
      </c>
      <c r="F36" s="381">
        <f>TRUNC('TERRAP E PAVIM'!U11,2)</f>
        <v>1518.19</v>
      </c>
      <c r="H36" s="153">
        <v>72943</v>
      </c>
      <c r="I36" s="153" t="s">
        <v>115</v>
      </c>
    </row>
    <row r="37" spans="1:9" s="3" customFormat="1" ht="24">
      <c r="A37" s="86" t="s">
        <v>215</v>
      </c>
      <c r="B37" s="86" t="s">
        <v>332</v>
      </c>
      <c r="C37" s="86" t="s">
        <v>245</v>
      </c>
      <c r="D37" s="367" t="s">
        <v>313</v>
      </c>
      <c r="E37" s="67" t="s">
        <v>4</v>
      </c>
      <c r="F37" s="381">
        <f>TRUNC('TERRAP E PAVIM'!V11,2)</f>
        <v>45.54</v>
      </c>
      <c r="H37" s="153">
        <v>95993</v>
      </c>
      <c r="I37" s="153" t="s">
        <v>115</v>
      </c>
    </row>
    <row r="38" spans="1:9" s="3" customFormat="1" ht="24">
      <c r="A38" s="86" t="s">
        <v>216</v>
      </c>
      <c r="B38" s="86">
        <v>93595</v>
      </c>
      <c r="C38" s="86" t="s">
        <v>115</v>
      </c>
      <c r="D38" s="367" t="s">
        <v>145</v>
      </c>
      <c r="E38" s="67" t="s">
        <v>45</v>
      </c>
      <c r="F38" s="381">
        <f>TRUNC(TRANSP!J19,2)</f>
        <v>1880.93</v>
      </c>
      <c r="H38" s="153">
        <v>93595</v>
      </c>
      <c r="I38" s="153" t="s">
        <v>115</v>
      </c>
    </row>
    <row r="39" spans="1:9" s="3" customFormat="1" ht="24">
      <c r="A39" s="86" t="s">
        <v>314</v>
      </c>
      <c r="B39" s="86">
        <v>95878</v>
      </c>
      <c r="C39" s="86" t="s">
        <v>115</v>
      </c>
      <c r="D39" s="367" t="s">
        <v>144</v>
      </c>
      <c r="E39" s="67" t="s">
        <v>45</v>
      </c>
      <c r="F39" s="381">
        <f>TRUNC(TRANSP!J25,2)</f>
        <v>18433.189999999999</v>
      </c>
      <c r="H39" s="153">
        <v>95878</v>
      </c>
      <c r="I39" s="153" t="s">
        <v>115</v>
      </c>
    </row>
    <row r="40" spans="1:9" s="3" customFormat="1" ht="15" customHeight="1">
      <c r="A40" s="86" t="s">
        <v>315</v>
      </c>
      <c r="B40" s="86" t="s">
        <v>333</v>
      </c>
      <c r="C40" s="86" t="s">
        <v>245</v>
      </c>
      <c r="D40" s="367" t="s">
        <v>316</v>
      </c>
      <c r="E40" s="67" t="s">
        <v>317</v>
      </c>
      <c r="F40" s="381">
        <f>TRUNC(TRANSP!J30,2)</f>
        <v>209.48</v>
      </c>
      <c r="H40" s="153">
        <v>95303</v>
      </c>
      <c r="I40" s="153" t="s">
        <v>115</v>
      </c>
    </row>
    <row r="41" spans="1:9">
      <c r="A41" s="86"/>
      <c r="B41" s="86"/>
      <c r="C41" s="86"/>
      <c r="D41" s="367"/>
      <c r="E41" s="67"/>
      <c r="F41" s="381"/>
      <c r="G41" s="3"/>
      <c r="H41" s="84" t="s">
        <v>27</v>
      </c>
      <c r="I41" s="86"/>
    </row>
    <row r="42" spans="1:9" ht="15" customHeight="1">
      <c r="A42" s="247" t="s">
        <v>83</v>
      </c>
      <c r="B42" s="84" t="s">
        <v>27</v>
      </c>
      <c r="C42" s="86"/>
      <c r="D42" s="286" t="s">
        <v>170</v>
      </c>
      <c r="E42" s="86"/>
      <c r="F42" s="377"/>
      <c r="H42" s="86">
        <v>72947</v>
      </c>
      <c r="I42" s="86" t="s">
        <v>115</v>
      </c>
    </row>
    <row r="43" spans="1:9" ht="15" customHeight="1">
      <c r="A43" s="86" t="s">
        <v>84</v>
      </c>
      <c r="B43" s="86" t="s">
        <v>322</v>
      </c>
      <c r="C43" s="86" t="s">
        <v>245</v>
      </c>
      <c r="D43" s="91" t="s">
        <v>171</v>
      </c>
      <c r="E43" s="86" t="s">
        <v>5</v>
      </c>
      <c r="F43" s="377">
        <f>TRUNC('NS SIN HOR'!C29,2)</f>
        <v>77.38</v>
      </c>
      <c r="G43" s="3"/>
      <c r="H43" s="86">
        <v>5213405</v>
      </c>
      <c r="I43" s="86" t="s">
        <v>116</v>
      </c>
    </row>
    <row r="44" spans="1:9" ht="15" customHeight="1">
      <c r="A44" s="86" t="s">
        <v>85</v>
      </c>
      <c r="B44" s="86">
        <v>5213405</v>
      </c>
      <c r="C44" s="86" t="s">
        <v>116</v>
      </c>
      <c r="D44" s="87" t="s">
        <v>172</v>
      </c>
      <c r="E44" s="86" t="s">
        <v>5</v>
      </c>
      <c r="F44" s="377">
        <f>TRUNC('NS SIN HOR'!C31,2)</f>
        <v>25.45</v>
      </c>
      <c r="G44" s="3"/>
      <c r="H44" s="86">
        <v>5213417</v>
      </c>
      <c r="I44" s="86" t="s">
        <v>116</v>
      </c>
    </row>
    <row r="45" spans="1:9">
      <c r="A45" s="86" t="s">
        <v>231</v>
      </c>
      <c r="B45" s="86">
        <v>5213417</v>
      </c>
      <c r="C45" s="86" t="s">
        <v>116</v>
      </c>
      <c r="D45" s="87" t="s">
        <v>112</v>
      </c>
      <c r="E45" s="86" t="s">
        <v>5</v>
      </c>
      <c r="F45" s="377">
        <f>TRUNC('NS SIN VERT'!E13,2)</f>
        <v>1.41</v>
      </c>
      <c r="H45" s="86">
        <v>5213855</v>
      </c>
      <c r="I45" s="86" t="s">
        <v>116</v>
      </c>
    </row>
    <row r="46" spans="1:9" ht="24">
      <c r="A46" s="86" t="s">
        <v>318</v>
      </c>
      <c r="B46" s="86">
        <v>5213855</v>
      </c>
      <c r="C46" s="86" t="s">
        <v>116</v>
      </c>
      <c r="D46" s="91" t="s">
        <v>173</v>
      </c>
      <c r="E46" s="183" t="s">
        <v>7</v>
      </c>
      <c r="F46" s="377">
        <f>'NS SIN VERT'!E14</f>
        <v>5</v>
      </c>
      <c r="H46" s="86"/>
      <c r="I46" s="86"/>
    </row>
    <row r="47" spans="1:9">
      <c r="A47" s="183"/>
      <c r="B47" s="86"/>
      <c r="C47" s="86"/>
      <c r="D47" s="183"/>
      <c r="E47" s="183"/>
      <c r="F47" s="377"/>
      <c r="H47" s="84" t="s">
        <v>86</v>
      </c>
      <c r="I47" s="86"/>
    </row>
    <row r="48" spans="1:9">
      <c r="A48" s="247" t="s">
        <v>108</v>
      </c>
      <c r="B48" s="84" t="s">
        <v>86</v>
      </c>
      <c r="C48" s="86"/>
      <c r="D48" s="286" t="s">
        <v>174</v>
      </c>
      <c r="E48" s="86"/>
      <c r="F48" s="377"/>
      <c r="H48" s="86">
        <v>94267</v>
      </c>
      <c r="I48" s="86" t="s">
        <v>115</v>
      </c>
    </row>
    <row r="49" spans="1:9" ht="25.5">
      <c r="A49" s="86" t="s">
        <v>109</v>
      </c>
      <c r="B49" s="86">
        <v>94267</v>
      </c>
      <c r="C49" s="86" t="s">
        <v>115</v>
      </c>
      <c r="D49" s="150" t="s">
        <v>222</v>
      </c>
      <c r="E49" s="86" t="s">
        <v>6</v>
      </c>
      <c r="F49" s="377">
        <f>'TERRAP E PAVIM'!W11</f>
        <v>478.53999999999996</v>
      </c>
      <c r="H49" s="86">
        <v>94268</v>
      </c>
      <c r="I49" s="86" t="s">
        <v>115</v>
      </c>
    </row>
    <row r="50" spans="1:9" ht="25.5">
      <c r="A50" s="86" t="s">
        <v>161</v>
      </c>
      <c r="B50" s="86">
        <v>94268</v>
      </c>
      <c r="C50" s="86" t="s">
        <v>115</v>
      </c>
      <c r="D50" s="150" t="s">
        <v>223</v>
      </c>
      <c r="E50" s="86" t="s">
        <v>6</v>
      </c>
      <c r="F50" s="377">
        <f>'TERRAP E PAVIM'!X11</f>
        <v>78.5</v>
      </c>
      <c r="H50" s="84" t="s">
        <v>156</v>
      </c>
      <c r="I50" s="86"/>
    </row>
    <row r="51" spans="1:9">
      <c r="A51" s="86" t="s">
        <v>185</v>
      </c>
      <c r="B51" s="86" t="s">
        <v>334</v>
      </c>
      <c r="C51" s="86" t="s">
        <v>245</v>
      </c>
      <c r="D51" s="151" t="s">
        <v>224</v>
      </c>
      <c r="E51" s="183" t="s">
        <v>7</v>
      </c>
      <c r="F51" s="377">
        <f>F46*2</f>
        <v>10</v>
      </c>
    </row>
    <row r="53" spans="1:9">
      <c r="F53" s="111">
        <f>SUM(F7:F52)</f>
        <v>58037.614999999998</v>
      </c>
    </row>
  </sheetData>
  <customSheetViews>
    <customSheetView guid="{E8D46A29-8D28-49CA-936A-9705D639E1C7}" topLeftCell="A34">
      <selection activeCell="E51" sqref="E51"/>
      <pageMargins left="0.51181102362204722" right="0.51181102362204722" top="0.78740157480314965" bottom="0.78740157480314965" header="0.31496062992125984" footer="0.31496062992125984"/>
      <printOptions horizontalCentered="1"/>
      <pageSetup scale="80" orientation="portrait" horizontalDpi="4294967294" r:id="rId1"/>
    </customSheetView>
  </customSheetViews>
  <mergeCells count="5">
    <mergeCell ref="F1:F2"/>
    <mergeCell ref="A1:E1"/>
    <mergeCell ref="A2:E2"/>
    <mergeCell ref="A3:E3"/>
    <mergeCell ref="A4:E4"/>
  </mergeCells>
  <phoneticPr fontId="64" type="noConversion"/>
  <printOptions horizontalCentered="1"/>
  <pageMargins left="0.31496062992125984" right="0.31496062992125984" top="0.55118110236220474" bottom="0.39370078740157483" header="0.31496062992125984" footer="0.31496062992125984"/>
  <pageSetup paperSize="8" fitToWidth="2" fitToHeight="2" orientation="portrait" horizontalDpi="4294967294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4"/>
  <dimension ref="A1:GX58"/>
  <sheetViews>
    <sheetView zoomScale="90" zoomScaleNormal="90" zoomScaleSheetLayoutView="110" workbookViewId="0">
      <selection activeCell="D23" sqref="D23"/>
    </sheetView>
  </sheetViews>
  <sheetFormatPr defaultRowHeight="15" customHeight="1"/>
  <cols>
    <col min="1" max="1" width="7.140625" style="145" customWidth="1"/>
    <col min="2" max="2" width="19.140625" style="146" customWidth="1"/>
    <col min="3" max="3" width="11.140625" style="146" bestFit="1" customWidth="1"/>
    <col min="4" max="4" width="67" style="121" customWidth="1"/>
    <col min="5" max="5" width="6.28515625" style="146" customWidth="1"/>
    <col min="6" max="6" width="12.28515625" style="147" customWidth="1"/>
    <col min="7" max="7" width="12.42578125" style="124" customWidth="1"/>
    <col min="8" max="8" width="13.28515625" style="124" bestFit="1" customWidth="1"/>
    <col min="9" max="9" width="15.140625" style="124" customWidth="1"/>
    <col min="10" max="10" width="17.5703125" style="124" customWidth="1"/>
    <col min="11" max="11" width="9.140625" style="121"/>
    <col min="12" max="12" width="13.85546875" style="121" bestFit="1" customWidth="1"/>
    <col min="13" max="16384" width="9.140625" style="121"/>
  </cols>
  <sheetData>
    <row r="1" spans="1:206" s="139" customFormat="1" ht="20.100000000000001" customHeight="1">
      <c r="A1" s="493" t="str">
        <f>[1]QUANT!A1</f>
        <v>PREFEITURA MUNICIPAL DE VÁRZEA GRANDE</v>
      </c>
      <c r="B1" s="493"/>
      <c r="C1" s="493"/>
      <c r="D1" s="495" t="s">
        <v>154</v>
      </c>
      <c r="E1" s="495"/>
      <c r="F1" s="495"/>
      <c r="G1" s="495"/>
      <c r="H1" s="495"/>
      <c r="I1" s="495"/>
      <c r="J1" s="259" t="s">
        <v>57</v>
      </c>
      <c r="GX1" s="139" t="s">
        <v>8</v>
      </c>
    </row>
    <row r="2" spans="1:206" ht="20.100000000000001" customHeight="1">
      <c r="A2" s="493"/>
      <c r="B2" s="493"/>
      <c r="C2" s="493"/>
      <c r="D2" s="496" t="str">
        <f>QUANT!A2</f>
        <v>BAIRRO: JARDIM ESMERALDA</v>
      </c>
      <c r="E2" s="496"/>
      <c r="F2" s="496"/>
      <c r="G2" s="496"/>
      <c r="H2" s="496"/>
      <c r="I2" s="496"/>
      <c r="J2" s="260" t="str">
        <f>RESUMO!C5</f>
        <v>05/2023 SINAPI</v>
      </c>
    </row>
    <row r="3" spans="1:206" ht="20.100000000000001" customHeight="1">
      <c r="A3" s="493"/>
      <c r="B3" s="493"/>
      <c r="C3" s="493"/>
      <c r="D3" s="492" t="str">
        <f>QUANT!A3</f>
        <v>RUA: SETE</v>
      </c>
      <c r="E3" s="492"/>
      <c r="F3" s="492"/>
      <c r="G3" s="492"/>
      <c r="H3" s="492"/>
      <c r="I3" s="492"/>
      <c r="J3" s="260" t="str">
        <f>RESUMO!C6</f>
        <v>01/2023 SICRO 3</v>
      </c>
    </row>
    <row r="4" spans="1:206" ht="20.100000000000001" customHeight="1">
      <c r="A4" s="494" t="s">
        <v>78</v>
      </c>
      <c r="B4" s="494"/>
      <c r="C4" s="494"/>
      <c r="D4" s="140">
        <f>BDI!E25</f>
        <v>0.24660000000000001</v>
      </c>
      <c r="E4" s="491" t="s">
        <v>56</v>
      </c>
      <c r="F4" s="491"/>
      <c r="G4" s="395">
        <f>'TERRAP E PAVIM'!T11</f>
        <v>1518.19</v>
      </c>
      <c r="H4" s="262" t="s">
        <v>146</v>
      </c>
      <c r="I4" s="261">
        <f>'TERRAP E PAVIM'!H11</f>
        <v>317.77</v>
      </c>
      <c r="J4" s="490" t="s">
        <v>155</v>
      </c>
    </row>
    <row r="5" spans="1:206" ht="20.100000000000001" customHeight="1">
      <c r="A5" s="494" t="s">
        <v>117</v>
      </c>
      <c r="B5" s="494"/>
      <c r="C5" s="494"/>
      <c r="D5" s="140">
        <f>'BDI DIFERENCIADO'!E25</f>
        <v>0.1527</v>
      </c>
      <c r="E5" s="188"/>
      <c r="F5" s="104"/>
      <c r="G5" s="104"/>
      <c r="H5" s="104"/>
      <c r="I5" s="104"/>
      <c r="J5" s="490"/>
    </row>
    <row r="6" spans="1:206" s="142" customFormat="1" ht="20.100000000000001" customHeight="1">
      <c r="A6" s="128" t="str">
        <f>[1]QUANT!A5</f>
        <v>ITEM</v>
      </c>
      <c r="B6" s="396" t="str">
        <f>[1]QUANT!B5</f>
        <v>CODIGO</v>
      </c>
      <c r="C6" s="396" t="str">
        <f>[1]QUANT!C5</f>
        <v>BANCO</v>
      </c>
      <c r="D6" s="397" t="str">
        <f>[1]QUANT!D5</f>
        <v>DISCRIMINAÇÃO</v>
      </c>
      <c r="E6" s="235" t="s">
        <v>9</v>
      </c>
      <c r="F6" s="398" t="s">
        <v>10</v>
      </c>
      <c r="G6" s="235" t="s">
        <v>11</v>
      </c>
      <c r="H6" s="394" t="s">
        <v>147</v>
      </c>
      <c r="I6" s="235" t="s">
        <v>12</v>
      </c>
      <c r="J6" s="235" t="s">
        <v>13</v>
      </c>
    </row>
    <row r="7" spans="1:206" s="142" customFormat="1" ht="15" customHeight="1">
      <c r="A7" s="123" t="str">
        <f>QUANT!A6</f>
        <v>1.0</v>
      </c>
      <c r="B7" s="123" t="str">
        <f>QUANT!B6</f>
        <v>I</v>
      </c>
      <c r="C7" s="123"/>
      <c r="D7" s="136" t="str">
        <f>QUANT!D6</f>
        <v>SERVIÇOS PRELIMINARES</v>
      </c>
      <c r="E7" s="120"/>
      <c r="F7" s="391"/>
      <c r="G7" s="196"/>
      <c r="H7" s="196"/>
      <c r="I7" s="196"/>
      <c r="J7" s="263"/>
    </row>
    <row r="8" spans="1:206" s="142" customFormat="1" ht="15" customHeight="1">
      <c r="A8" s="120" t="str">
        <f>QUANT!A7</f>
        <v>1.1</v>
      </c>
      <c r="B8" s="120" t="str">
        <f>QUANT!B7</f>
        <v>COMP 1.1 (74209/001)</v>
      </c>
      <c r="C8" s="120" t="str">
        <f>QUANT!C7</f>
        <v>Composição</v>
      </c>
      <c r="D8" s="143" t="str">
        <f>QUANT!D7</f>
        <v>Placa de obra em chapa de aço galvanizado</v>
      </c>
      <c r="E8" s="120" t="str">
        <f>QUANT!E7</f>
        <v>m²</v>
      </c>
      <c r="F8" s="391">
        <f>QUANT!F7</f>
        <v>12.5</v>
      </c>
      <c r="G8" s="197">
        <v>373.58</v>
      </c>
      <c r="H8" s="196">
        <f>TRUNC((G8*(1+($D$4))),2)</f>
        <v>465.7</v>
      </c>
      <c r="I8" s="196">
        <f>TRUNC(F8*H8,2)</f>
        <v>5821.25</v>
      </c>
      <c r="J8" s="263"/>
      <c r="L8" s="404"/>
      <c r="N8" s="404"/>
    </row>
    <row r="9" spans="1:206" ht="15" customHeight="1">
      <c r="A9" s="120" t="str">
        <f>QUANT!A8</f>
        <v>1.2</v>
      </c>
      <c r="B9" s="120">
        <f>QUANT!B8</f>
        <v>93584</v>
      </c>
      <c r="C9" s="120" t="str">
        <f>QUANT!C8</f>
        <v>SINAPI</v>
      </c>
      <c r="D9" s="143" t="str">
        <f>QUANT!D8</f>
        <v>Execução de depósito em canteiro de obra</v>
      </c>
      <c r="E9" s="120" t="str">
        <f>QUANT!E8</f>
        <v>m²</v>
      </c>
      <c r="F9" s="391">
        <f>QUANT!F8</f>
        <v>15</v>
      </c>
      <c r="G9" s="197">
        <v>891.4</v>
      </c>
      <c r="H9" s="196">
        <f>TRUNC((G9*(1+($D$4))),2)</f>
        <v>1111.21</v>
      </c>
      <c r="I9" s="196">
        <f>TRUNC(F9*H9,2)</f>
        <v>16668.150000000001</v>
      </c>
      <c r="J9" s="264"/>
      <c r="L9" s="404"/>
      <c r="N9" s="404"/>
    </row>
    <row r="10" spans="1:206" ht="36">
      <c r="A10" s="120" t="str">
        <f>QUANT!A9</f>
        <v>1.3</v>
      </c>
      <c r="B10" s="120" t="str">
        <f>QUANT!B9</f>
        <v>COMP 1.3 (73847/001)</v>
      </c>
      <c r="C10" s="120" t="str">
        <f>QUANT!C9</f>
        <v>Composição</v>
      </c>
      <c r="D10" s="156" t="str">
        <f>QUANT!D9</f>
        <v>Aluguel container/sanit c/2 vasos/1 lavat/1 mic/4 chuv larg2,20m compr=6,20m alt=2,50m chapa aco c/nerv trapez forro c/isolam termo/acustico chassis reforc piso compens naval inclinst eletr/hidr excl transp/carga/descarga</v>
      </c>
      <c r="E10" s="120" t="str">
        <f>QUANT!E9</f>
        <v>mês</v>
      </c>
      <c r="F10" s="391">
        <f>QUANT!F9</f>
        <v>6</v>
      </c>
      <c r="G10" s="197">
        <v>658.2</v>
      </c>
      <c r="H10" s="196">
        <f>TRUNC((G10*(1+($D$5))),2)</f>
        <v>758.7</v>
      </c>
      <c r="I10" s="196">
        <f>TRUNC(F10*H10,2)</f>
        <v>4552.2</v>
      </c>
      <c r="J10" s="264"/>
      <c r="K10" s="142"/>
      <c r="L10" s="404"/>
      <c r="M10" s="142"/>
      <c r="N10" s="404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  <c r="BI10" s="142"/>
      <c r="BJ10" s="142"/>
      <c r="BK10" s="142"/>
      <c r="BL10" s="142"/>
      <c r="BM10" s="142"/>
      <c r="BN10" s="142"/>
      <c r="BO10" s="142"/>
      <c r="BP10" s="142"/>
      <c r="BQ10" s="142"/>
      <c r="BR10" s="142"/>
      <c r="BS10" s="142"/>
      <c r="BT10" s="142"/>
      <c r="BU10" s="142"/>
      <c r="BV10" s="142"/>
      <c r="BW10" s="142"/>
      <c r="BX10" s="142"/>
      <c r="BY10" s="142"/>
      <c r="BZ10" s="142"/>
      <c r="CA10" s="142"/>
      <c r="CB10" s="142"/>
      <c r="CC10" s="142"/>
    </row>
    <row r="11" spans="1:206" ht="15" customHeight="1">
      <c r="A11" s="120" t="str">
        <f>QUANT!A10</f>
        <v>1.4</v>
      </c>
      <c r="B11" s="120">
        <f>QUANT!B10</f>
        <v>5213417</v>
      </c>
      <c r="C11" s="120" t="str">
        <f>QUANT!C10</f>
        <v>SICRO 3</v>
      </c>
      <c r="D11" s="156" t="str">
        <f>QUANT!D10</f>
        <v>Confecção de placa em aço nº 16 galvanizado, com película retrorrefletiva tipo I + III</v>
      </c>
      <c r="E11" s="120" t="str">
        <f>QUANT!E10</f>
        <v>m²</v>
      </c>
      <c r="F11" s="405">
        <f>QUANT!F10</f>
        <v>3.125</v>
      </c>
      <c r="G11" s="197">
        <v>455.54</v>
      </c>
      <c r="H11" s="196">
        <f>TRUNC((G11*(1+($D$4))),2)</f>
        <v>567.87</v>
      </c>
      <c r="I11" s="196">
        <f>TRUNC(F11*H11,2)</f>
        <v>1774.59</v>
      </c>
      <c r="J11" s="264">
        <f>SUM(I8:I11)</f>
        <v>28816.190000000002</v>
      </c>
      <c r="K11" s="142"/>
      <c r="L11" s="142"/>
      <c r="M11" s="142"/>
      <c r="N11" s="404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  <c r="BI11" s="142"/>
      <c r="BJ11" s="142"/>
      <c r="BK11" s="142"/>
      <c r="BL11" s="142"/>
      <c r="BM11" s="142"/>
      <c r="BN11" s="142"/>
      <c r="BO11" s="142"/>
      <c r="BP11" s="142"/>
      <c r="BQ11" s="142"/>
      <c r="BR11" s="142"/>
      <c r="BS11" s="142"/>
      <c r="BT11" s="142"/>
      <c r="BU11" s="142"/>
      <c r="BV11" s="142"/>
      <c r="BW11" s="142"/>
      <c r="BX11" s="142"/>
      <c r="BY11" s="142"/>
      <c r="BZ11" s="142"/>
      <c r="CA11" s="142"/>
      <c r="CB11" s="142"/>
      <c r="CC11" s="142"/>
    </row>
    <row r="12" spans="1:206" ht="12.75">
      <c r="A12" s="120"/>
      <c r="B12" s="120"/>
      <c r="C12" s="120"/>
      <c r="D12" s="143"/>
      <c r="E12" s="120"/>
      <c r="F12" s="391"/>
      <c r="G12" s="197"/>
      <c r="H12" s="196"/>
      <c r="I12" s="196"/>
      <c r="J12" s="265"/>
      <c r="K12" s="142"/>
      <c r="L12" s="142"/>
      <c r="M12" s="142"/>
      <c r="N12" s="404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  <c r="BI12" s="142"/>
      <c r="BJ12" s="142"/>
      <c r="BK12" s="142"/>
      <c r="BL12" s="142"/>
      <c r="BM12" s="142"/>
      <c r="BN12" s="142"/>
      <c r="BO12" s="142"/>
      <c r="BP12" s="142"/>
      <c r="BQ12" s="142"/>
      <c r="BR12" s="142"/>
      <c r="BS12" s="142"/>
      <c r="BT12" s="142"/>
      <c r="BU12" s="142"/>
      <c r="BV12" s="142"/>
      <c r="BW12" s="142"/>
      <c r="BX12" s="142"/>
      <c r="BY12" s="142"/>
      <c r="BZ12" s="142"/>
      <c r="CA12" s="142"/>
      <c r="CB12" s="142"/>
      <c r="CC12" s="142"/>
    </row>
    <row r="13" spans="1:206" ht="15" customHeight="1">
      <c r="A13" s="123" t="str">
        <f>QUANT!A12</f>
        <v>2.0</v>
      </c>
      <c r="B13" s="123" t="str">
        <f>QUANT!B12</f>
        <v>II</v>
      </c>
      <c r="C13" s="120"/>
      <c r="D13" s="136" t="str">
        <f>QUANT!D12</f>
        <v>ADMINISTRAÇÃO LOCAL</v>
      </c>
      <c r="E13" s="120"/>
      <c r="F13" s="391"/>
      <c r="G13" s="197"/>
      <c r="H13" s="196"/>
      <c r="I13" s="196"/>
      <c r="J13" s="265"/>
      <c r="N13" s="404"/>
    </row>
    <row r="14" spans="1:206" ht="48">
      <c r="A14" s="183" t="str">
        <f>QUANT!A13</f>
        <v>2.1</v>
      </c>
      <c r="B14" s="249" t="str">
        <f>QUANT!B13</f>
        <v>COMP 2.1 (93565,94296,101389, 101456,101385,93572,93564)</v>
      </c>
      <c r="C14" s="183" t="str">
        <f>QUANT!C13</f>
        <v>Composição</v>
      </c>
      <c r="D14" s="407" t="str">
        <f>QUANT!D13</f>
        <v>Administração Local</v>
      </c>
      <c r="E14" s="183" t="str">
        <f>QUANT!E13</f>
        <v>un</v>
      </c>
      <c r="F14" s="392">
        <f>QUANT!F13</f>
        <v>1</v>
      </c>
      <c r="G14" s="197">
        <v>11019.3</v>
      </c>
      <c r="H14" s="197">
        <f>TRUNC((G14*(1+($D$4))),2)</f>
        <v>13736.65</v>
      </c>
      <c r="I14" s="197">
        <f>TRUNC(F14*H14,2)</f>
        <v>13736.65</v>
      </c>
      <c r="J14" s="266">
        <f>SUM(I14)</f>
        <v>13736.65</v>
      </c>
      <c r="L14" s="165">
        <f>J14/J54</f>
        <v>4.4622241354622443E-2</v>
      </c>
      <c r="N14" s="404"/>
    </row>
    <row r="15" spans="1:206" ht="12.75">
      <c r="A15" s="120"/>
      <c r="B15" s="120"/>
      <c r="C15" s="137"/>
      <c r="D15" s="138"/>
      <c r="E15" s="120"/>
      <c r="F15" s="391"/>
      <c r="G15" s="197"/>
      <c r="H15" s="196"/>
      <c r="I15" s="196"/>
      <c r="J15" s="265"/>
      <c r="N15" s="404"/>
    </row>
    <row r="16" spans="1:206" ht="15" customHeight="1">
      <c r="A16" s="123" t="str">
        <f>QUANT!A15</f>
        <v>3.0</v>
      </c>
      <c r="B16" s="123" t="str">
        <f>QUANT!B15</f>
        <v>III</v>
      </c>
      <c r="C16" s="123"/>
      <c r="D16" s="136" t="str">
        <f>QUANT!D15</f>
        <v>ENSAIOS TECNOLÓGICOS DE SOLO E ASFALTO</v>
      </c>
      <c r="E16" s="120"/>
      <c r="F16" s="391"/>
      <c r="G16" s="197"/>
      <c r="H16" s="196"/>
      <c r="I16" s="196"/>
      <c r="J16" s="265"/>
      <c r="N16" s="404"/>
    </row>
    <row r="17" spans="1:14" ht="15" customHeight="1">
      <c r="A17" s="120" t="str">
        <f>QUANT!A16</f>
        <v>3.1</v>
      </c>
      <c r="B17" s="120" t="str">
        <f>QUANT!B16</f>
        <v>COMP 3.1 (74021/003)</v>
      </c>
      <c r="C17" s="120" t="str">
        <f>QUANT!C16</f>
        <v>Composição</v>
      </c>
      <c r="D17" s="156" t="str">
        <f>QUANT!D16</f>
        <v>Ensaio de regularição de sub-leito</v>
      </c>
      <c r="E17" s="120" t="str">
        <f>QUANT!E16</f>
        <v>m²</v>
      </c>
      <c r="F17" s="391">
        <f>QUANT!F16</f>
        <v>2026.62</v>
      </c>
      <c r="G17" s="197">
        <v>0.86</v>
      </c>
      <c r="H17" s="196">
        <f>TRUNC((G17*(1+($D$4))),2)</f>
        <v>1.07</v>
      </c>
      <c r="I17" s="196">
        <f>TRUNC(F17*H17,2)</f>
        <v>2168.48</v>
      </c>
      <c r="J17" s="265"/>
      <c r="L17" s="404"/>
      <c r="N17" s="404"/>
    </row>
    <row r="18" spans="1:14" ht="15" customHeight="1">
      <c r="A18" s="120" t="str">
        <f>QUANT!A17</f>
        <v>3.2</v>
      </c>
      <c r="B18" s="120" t="str">
        <f>QUANT!B17</f>
        <v>COMP 3.2 (74021/006)</v>
      </c>
      <c r="C18" s="120" t="str">
        <f>QUANT!C17</f>
        <v>Composição</v>
      </c>
      <c r="D18" s="156" t="str">
        <f>QUANT!D17</f>
        <v>Ensaio de Sub-base estabilizada granulometricamente)</v>
      </c>
      <c r="E18" s="120" t="str">
        <f>QUANT!E17</f>
        <v>m³</v>
      </c>
      <c r="F18" s="391">
        <f>QUANT!F17</f>
        <v>303.99</v>
      </c>
      <c r="G18" s="197">
        <v>1.67</v>
      </c>
      <c r="H18" s="196">
        <f>TRUNC((G18*(1+($D$4))),2)</f>
        <v>2.08</v>
      </c>
      <c r="I18" s="196">
        <f>TRUNC(F18*H18,2)</f>
        <v>632.29</v>
      </c>
      <c r="J18" s="265"/>
      <c r="L18" s="404"/>
      <c r="N18" s="404"/>
    </row>
    <row r="19" spans="1:14" ht="15" customHeight="1">
      <c r="A19" s="120" t="str">
        <f>QUANT!A18</f>
        <v>3.3</v>
      </c>
      <c r="B19" s="120" t="str">
        <f>QUANT!B18</f>
        <v>COMP 3.3 (74021/006)</v>
      </c>
      <c r="C19" s="120" t="str">
        <f>QUANT!C18</f>
        <v>Composição</v>
      </c>
      <c r="D19" s="156" t="str">
        <f>QUANT!D18</f>
        <v>Ensaio de base estabilizada granulometricamente</v>
      </c>
      <c r="E19" s="120" t="str">
        <f>QUANT!E18</f>
        <v>m³</v>
      </c>
      <c r="F19" s="391">
        <f>QUANT!F18</f>
        <v>303.99</v>
      </c>
      <c r="G19" s="197">
        <v>1.67</v>
      </c>
      <c r="H19" s="196">
        <f>TRUNC((G19*(1+($D$4))),2)</f>
        <v>2.08</v>
      </c>
      <c r="I19" s="196">
        <f>TRUNC(F19*H19,2)</f>
        <v>632.29</v>
      </c>
      <c r="J19" s="265"/>
      <c r="L19" s="404"/>
      <c r="N19" s="404"/>
    </row>
    <row r="20" spans="1:14" ht="24">
      <c r="A20" s="120" t="str">
        <f>QUANT!A19</f>
        <v>3.4</v>
      </c>
      <c r="B20" s="120" t="str">
        <f>QUANT!B19</f>
        <v>COMP 3.4 (74022/030)</v>
      </c>
      <c r="C20" s="120" t="str">
        <f>QUANT!C19</f>
        <v>Composição</v>
      </c>
      <c r="D20" s="156" t="str">
        <f>QUANT!D19</f>
        <v>Ensaio de resistência a compressão simples do concreto - meio-fio, sarjetas e calçadas (considerado 1,0 amostra a cada 200 m)</v>
      </c>
      <c r="E20" s="120" t="str">
        <f>QUANT!E19</f>
        <v>un</v>
      </c>
      <c r="F20" s="391">
        <f>TRUNC(QUANT!F19,0)</f>
        <v>3</v>
      </c>
      <c r="G20" s="197">
        <v>142.66</v>
      </c>
      <c r="H20" s="196">
        <f>TRUNC((G20*(1+($D$4))),2)</f>
        <v>177.83</v>
      </c>
      <c r="I20" s="196">
        <f>TRUNC(F20*H20,2)</f>
        <v>533.49</v>
      </c>
      <c r="J20" s="265">
        <f>SUM(I17:I20)</f>
        <v>3966.55</v>
      </c>
      <c r="L20" s="404"/>
      <c r="N20" s="404"/>
    </row>
    <row r="21" spans="1:14" ht="12.75">
      <c r="A21" s="120"/>
      <c r="B21" s="137"/>
      <c r="C21" s="157"/>
      <c r="D21" s="144"/>
      <c r="E21" s="120"/>
      <c r="F21" s="391"/>
      <c r="G21" s="197"/>
      <c r="H21" s="196"/>
      <c r="I21" s="196"/>
      <c r="J21" s="163"/>
      <c r="N21" s="404"/>
    </row>
    <row r="22" spans="1:14" ht="15" customHeight="1">
      <c r="A22" s="123" t="str">
        <f>QUANT!A21</f>
        <v>4.0</v>
      </c>
      <c r="B22" s="123" t="s">
        <v>229</v>
      </c>
      <c r="C22" s="123"/>
      <c r="D22" s="136" t="str">
        <f>QUANT!D21</f>
        <v>TERRAPLENAGEM</v>
      </c>
      <c r="E22" s="120"/>
      <c r="F22" s="391"/>
      <c r="G22" s="197"/>
      <c r="H22" s="196"/>
      <c r="I22" s="196"/>
      <c r="J22" s="163"/>
      <c r="N22" s="404"/>
    </row>
    <row r="23" spans="1:14" ht="24">
      <c r="A23" s="120" t="str">
        <f>QUANT!A22</f>
        <v>4.1</v>
      </c>
      <c r="B23" s="120" t="str">
        <f>QUANT!B22</f>
        <v>COMP. 4.1 (73822/002)</v>
      </c>
      <c r="C23" s="120" t="str">
        <f>QUANT!C22</f>
        <v>Composição</v>
      </c>
      <c r="D23" s="156" t="str">
        <f>QUANT!D22</f>
        <v>Limpeza mecanizada de área com remoção de camada vegetal, utilizando motoniveladora</v>
      </c>
      <c r="E23" s="120" t="str">
        <f>QUANT!E22</f>
        <v>m²</v>
      </c>
      <c r="F23" s="391">
        <f>QUANT!F22</f>
        <v>953.31</v>
      </c>
      <c r="G23" s="197">
        <v>0.72</v>
      </c>
      <c r="H23" s="196">
        <f t="shared" ref="H23:H29" si="0">TRUNC((G23*(1+($D$4))),2)</f>
        <v>0.89</v>
      </c>
      <c r="I23" s="196">
        <f t="shared" ref="I23:I29" si="1">TRUNC(F23*H23,2)</f>
        <v>848.44</v>
      </c>
      <c r="J23" s="163"/>
      <c r="L23" s="404"/>
      <c r="N23" s="404"/>
    </row>
    <row r="24" spans="1:14" ht="24">
      <c r="A24" s="120" t="str">
        <f>QUANT!A23</f>
        <v>4.2</v>
      </c>
      <c r="B24" s="120">
        <f>QUANT!B23</f>
        <v>5502109</v>
      </c>
      <c r="C24" s="120" t="str">
        <f>QUANT!C23</f>
        <v>SICRO 3</v>
      </c>
      <c r="D24" s="156" t="str">
        <f>QUANT!D23</f>
        <v>Escavação, carga e transporte de material de 1ª categoria - DMT de 50 a 200 m - caminho de serviço em leito natural - com escavadira hidráulica</v>
      </c>
      <c r="E24" s="120" t="str">
        <f>QUANT!E23</f>
        <v>m³</v>
      </c>
      <c r="F24" s="391">
        <f>QUANT!F23</f>
        <v>32.130000000000003</v>
      </c>
      <c r="G24" s="197">
        <v>6.2</v>
      </c>
      <c r="H24" s="196">
        <f t="shared" si="0"/>
        <v>7.72</v>
      </c>
      <c r="I24" s="196">
        <f>TRUNC(F24*H24,2)</f>
        <v>248.04</v>
      </c>
      <c r="J24" s="163"/>
      <c r="L24" s="404"/>
      <c r="N24" s="404"/>
    </row>
    <row r="25" spans="1:14" ht="15" customHeight="1">
      <c r="A25" s="120" t="str">
        <f>QUANT!A24</f>
        <v>4.3</v>
      </c>
      <c r="B25" s="120">
        <f>QUANT!B24</f>
        <v>5503041</v>
      </c>
      <c r="C25" s="120" t="str">
        <f>QUANT!C24</f>
        <v>SICRO 3</v>
      </c>
      <c r="D25" s="156" t="str">
        <f>QUANT!D24</f>
        <v>Compactação de aterros a 100% do Proctor intermediário</v>
      </c>
      <c r="E25" s="120" t="str">
        <f>QUANT!E24</f>
        <v>m³</v>
      </c>
      <c r="F25" s="391">
        <f>QUANT!F24</f>
        <v>26.78</v>
      </c>
      <c r="G25" s="197">
        <v>8.17</v>
      </c>
      <c r="H25" s="196">
        <f t="shared" si="0"/>
        <v>10.18</v>
      </c>
      <c r="I25" s="196">
        <f>TRUNC(F25*H25,2)</f>
        <v>272.62</v>
      </c>
      <c r="J25" s="163"/>
      <c r="L25" s="404"/>
      <c r="N25" s="404"/>
    </row>
    <row r="26" spans="1:14" ht="33.75" customHeight="1">
      <c r="A26" s="120" t="str">
        <f>QUANT!A25</f>
        <v>4.4</v>
      </c>
      <c r="B26" s="120">
        <f>QUANT!B25</f>
        <v>100978</v>
      </c>
      <c r="C26" s="120" t="str">
        <f>QUANT!C25</f>
        <v>SINAPI</v>
      </c>
      <c r="D26" s="156" t="str">
        <f>QUANT!D25</f>
        <v>Carga, manobra e descarga de solos e materiais granulares em caminhão basculante 10 m³ - carga com escavadeira hidráulica (caçamba de 1,20 m³ / 155 hp) e descarga livre (unidade: t). af_07/2020</v>
      </c>
      <c r="E26" s="120" t="str">
        <f>QUANT!E25</f>
        <v>m³</v>
      </c>
      <c r="F26" s="391">
        <f>QUANT!F25</f>
        <v>754.09</v>
      </c>
      <c r="G26" s="197">
        <v>6.21</v>
      </c>
      <c r="H26" s="196">
        <f t="shared" si="0"/>
        <v>7.74</v>
      </c>
      <c r="I26" s="196">
        <f>TRUNC(F26*H26,2)</f>
        <v>5836.65</v>
      </c>
      <c r="J26" s="163"/>
      <c r="L26" s="404"/>
      <c r="N26" s="404"/>
    </row>
    <row r="27" spans="1:14" ht="24">
      <c r="A27" s="120" t="str">
        <f>QUANT!A26</f>
        <v>4.5</v>
      </c>
      <c r="B27" s="120">
        <f>QUANT!B26</f>
        <v>93595</v>
      </c>
      <c r="C27" s="120" t="str">
        <f>QUANT!C26</f>
        <v>SINAPI</v>
      </c>
      <c r="D27" s="156" t="str">
        <f>QUANT!D26</f>
        <v>Transporte com caminhão basculante de 10 m3, em via urbana em revestimento primário (unidade: txkm). af_04/2016</v>
      </c>
      <c r="E27" s="120" t="str">
        <f>QUANT!E26</f>
        <v>txkm</v>
      </c>
      <c r="F27" s="391">
        <f>QUANT!F26</f>
        <v>2332.96</v>
      </c>
      <c r="G27" s="197">
        <v>1.64</v>
      </c>
      <c r="H27" s="196">
        <f t="shared" si="0"/>
        <v>2.04</v>
      </c>
      <c r="I27" s="196">
        <f t="shared" si="1"/>
        <v>4759.2299999999996</v>
      </c>
      <c r="J27" s="163"/>
      <c r="L27" s="404"/>
      <c r="N27" s="404"/>
    </row>
    <row r="28" spans="1:14" ht="24">
      <c r="A28" s="120" t="str">
        <f>QUANT!A27</f>
        <v>4.6</v>
      </c>
      <c r="B28" s="120">
        <f>QUANT!B27</f>
        <v>95878</v>
      </c>
      <c r="C28" s="120" t="str">
        <f>QUANT!C27</f>
        <v>SINAPI</v>
      </c>
      <c r="D28" s="156" t="str">
        <f>QUANT!D27</f>
        <v>Transporte com caminhão basculante de 10 m3, em via urbana pavimentada, dmt até 30 km (unidade: txkm). af_12/2016</v>
      </c>
      <c r="E28" s="120" t="str">
        <f>QUANT!E27</f>
        <v>txkm</v>
      </c>
      <c r="F28" s="391">
        <f>QUANT!F27</f>
        <v>22863.06</v>
      </c>
      <c r="G28" s="197">
        <v>1.51</v>
      </c>
      <c r="H28" s="196">
        <f t="shared" si="0"/>
        <v>1.88</v>
      </c>
      <c r="I28" s="196">
        <f t="shared" si="1"/>
        <v>42982.55</v>
      </c>
      <c r="J28" s="163"/>
      <c r="L28" s="404"/>
      <c r="N28" s="404"/>
    </row>
    <row r="29" spans="1:14" ht="24">
      <c r="A29" s="120" t="str">
        <f>QUANT!A28</f>
        <v>4.7</v>
      </c>
      <c r="B29" s="120" t="str">
        <f>QUANT!B28</f>
        <v>COMP. 4.7 (83344)</v>
      </c>
      <c r="C29" s="120" t="str">
        <f>QUANT!C28</f>
        <v>Composição</v>
      </c>
      <c r="D29" s="156" t="str">
        <f>QUANT!D28</f>
        <v>Espalhamento de material em bota fora, com utilização de trator de esteiras de 165 hp</v>
      </c>
      <c r="E29" s="120" t="str">
        <f>QUANT!E28</f>
        <v>m³</v>
      </c>
      <c r="F29" s="391">
        <f>QUANT!F28</f>
        <v>754.09</v>
      </c>
      <c r="G29" s="197">
        <v>1.1499999999999999</v>
      </c>
      <c r="H29" s="196">
        <f t="shared" si="0"/>
        <v>1.43</v>
      </c>
      <c r="I29" s="196">
        <f t="shared" si="1"/>
        <v>1078.3399999999999</v>
      </c>
      <c r="J29" s="265">
        <f>SUM(I23:I29)</f>
        <v>56025.869999999995</v>
      </c>
      <c r="L29" s="404"/>
      <c r="N29" s="404"/>
    </row>
    <row r="30" spans="1:14" s="122" customFormat="1" ht="12.75">
      <c r="A30" s="120"/>
      <c r="B30" s="137"/>
      <c r="C30" s="137"/>
      <c r="D30" s="138"/>
      <c r="E30" s="120"/>
      <c r="F30" s="391"/>
      <c r="G30" s="197"/>
      <c r="H30" s="196"/>
      <c r="I30" s="196"/>
      <c r="J30" s="265"/>
      <c r="N30" s="404"/>
    </row>
    <row r="31" spans="1:14" s="122" customFormat="1" ht="15" customHeight="1">
      <c r="A31" s="123" t="str">
        <f>QUANT!A30</f>
        <v>5.0</v>
      </c>
      <c r="B31" s="123" t="str">
        <f>QUANT!B30</f>
        <v>V</v>
      </c>
      <c r="C31" s="123"/>
      <c r="D31" s="136" t="str">
        <f>QUANT!D30</f>
        <v>PAVIMENTAÇÃO</v>
      </c>
      <c r="E31" s="120"/>
      <c r="F31" s="391"/>
      <c r="G31" s="197"/>
      <c r="H31" s="196"/>
      <c r="I31" s="196"/>
      <c r="J31" s="265"/>
      <c r="N31" s="404"/>
    </row>
    <row r="32" spans="1:14" s="122" customFormat="1" ht="12.75">
      <c r="A32" s="120" t="str">
        <f>QUANT!A31</f>
        <v>5.1</v>
      </c>
      <c r="B32" s="120" t="str">
        <f>QUANT!B31</f>
        <v>COMP. 5.1 (72961)</v>
      </c>
      <c r="C32" s="120" t="str">
        <f>QUANT!C31</f>
        <v>Composição</v>
      </c>
      <c r="D32" s="156" t="str">
        <f>QUANT!D31</f>
        <v>Regularização e compactação de subleito até 20 cm de espessura</v>
      </c>
      <c r="E32" s="120" t="str">
        <f>QUANT!E31</f>
        <v>m²</v>
      </c>
      <c r="F32" s="391">
        <f>QUANT!F31</f>
        <v>2026.62</v>
      </c>
      <c r="G32" s="197">
        <v>1.98</v>
      </c>
      <c r="H32" s="255">
        <f t="shared" ref="H32:H39" si="2">TRUNC((G32*(1+($D$4))),2)</f>
        <v>2.46</v>
      </c>
      <c r="I32" s="255">
        <f t="shared" ref="I32:I39" si="3">TRUNC(F32*H32,2)</f>
        <v>4985.4799999999996</v>
      </c>
      <c r="J32" s="265"/>
      <c r="L32" s="404"/>
      <c r="N32" s="404"/>
    </row>
    <row r="33" spans="1:14" ht="24">
      <c r="A33" s="120" t="str">
        <f>QUANT!A32</f>
        <v>5.2</v>
      </c>
      <c r="B33" s="120" t="str">
        <f>QUANT!B32</f>
        <v>COT. 1 (M980)</v>
      </c>
      <c r="C33" s="120" t="str">
        <f>QUANT!C32</f>
        <v>COTAÇÃO</v>
      </c>
      <c r="D33" s="156" t="str">
        <f>QUANT!D32</f>
        <v>Indenização de jazida não condiz com o preço praticado na região (Preço praticado na jazida)</v>
      </c>
      <c r="E33" s="120" t="str">
        <f>QUANT!E32</f>
        <v>m³</v>
      </c>
      <c r="F33" s="391">
        <f>QUANT!F32</f>
        <v>729.57</v>
      </c>
      <c r="G33" s="197">
        <v>12.5</v>
      </c>
      <c r="H33" s="196">
        <f>TRUNC((G33*(1+($D$5))),2)</f>
        <v>14.4</v>
      </c>
      <c r="I33" s="196">
        <f t="shared" si="3"/>
        <v>10505.8</v>
      </c>
      <c r="J33" s="265"/>
      <c r="L33" s="404"/>
      <c r="N33" s="404"/>
    </row>
    <row r="34" spans="1:14" ht="36">
      <c r="A34" s="120" t="str">
        <f>QUANT!A33</f>
        <v>5.3</v>
      </c>
      <c r="B34" s="120" t="str">
        <f>QUANT!B33</f>
        <v>COMP. 5.3 (96387)</v>
      </c>
      <c r="C34" s="120" t="str">
        <f>QUANT!C33</f>
        <v>Composição</v>
      </c>
      <c r="D34" s="156" t="str">
        <f>QUANT!D33</f>
        <v>Execução e compactação de sub-base com solo estabilizado granulometricamente - exclusive escavação, carga e transporte e solo. af_09/2017</v>
      </c>
      <c r="E34" s="120" t="str">
        <f>QUANT!E33</f>
        <v>m³</v>
      </c>
      <c r="F34" s="391">
        <f>QUANT!F33</f>
        <v>303.99</v>
      </c>
      <c r="G34" s="197">
        <v>10.06</v>
      </c>
      <c r="H34" s="196">
        <f>TRUNC((G34*(1+($D$4))),2)</f>
        <v>12.54</v>
      </c>
      <c r="I34" s="196">
        <f>TRUNC(F34*H34,2)</f>
        <v>3812.03</v>
      </c>
      <c r="J34" s="265"/>
      <c r="L34" s="404"/>
      <c r="N34" s="404"/>
    </row>
    <row r="35" spans="1:14" customFormat="1" ht="24">
      <c r="A35" s="120" t="str">
        <f>QUANT!A34</f>
        <v>5.4</v>
      </c>
      <c r="B35" s="120" t="str">
        <f>QUANT!B34</f>
        <v>COMP. 5.4 (96387)</v>
      </c>
      <c r="C35" s="120" t="str">
        <f>QUANT!C34</f>
        <v>Composição</v>
      </c>
      <c r="D35" s="156" t="str">
        <f>QUANT!D34</f>
        <v>Execução e compactação de base com solo estabilizado granulometricamente - exclusive escavação, carga e transporte e solo. af_09/2017</v>
      </c>
      <c r="E35" s="120" t="str">
        <f>QUANT!E34</f>
        <v>m³</v>
      </c>
      <c r="F35" s="391">
        <f>QUANT!F34</f>
        <v>303.99</v>
      </c>
      <c r="G35" s="197">
        <v>10.06</v>
      </c>
      <c r="H35" s="255">
        <f t="shared" si="2"/>
        <v>12.54</v>
      </c>
      <c r="I35" s="255">
        <f t="shared" si="3"/>
        <v>3812.03</v>
      </c>
      <c r="J35" s="253"/>
      <c r="L35" s="404"/>
      <c r="N35" s="404"/>
    </row>
    <row r="36" spans="1:14" s="3" customFormat="1" ht="12.75">
      <c r="A36" s="120" t="str">
        <f>QUANT!A35</f>
        <v>5.5</v>
      </c>
      <c r="B36" s="120">
        <f>QUANT!B35</f>
        <v>4011352</v>
      </c>
      <c r="C36" s="120" t="str">
        <f>QUANT!C35</f>
        <v>SICRO 3</v>
      </c>
      <c r="D36" s="156" t="str">
        <f>QUANT!D35</f>
        <v>Imprimação com emulsão asfáltica</v>
      </c>
      <c r="E36" s="120" t="str">
        <f>QUANT!E35</f>
        <v>m²</v>
      </c>
      <c r="F36" s="391">
        <f>QUANT!F35</f>
        <v>1518.19</v>
      </c>
      <c r="G36" s="197">
        <v>0.42</v>
      </c>
      <c r="H36" s="255">
        <f t="shared" si="2"/>
        <v>0.52</v>
      </c>
      <c r="I36" s="255">
        <f t="shared" si="3"/>
        <v>789.45</v>
      </c>
      <c r="J36" s="254"/>
      <c r="L36" s="404"/>
      <c r="N36" s="404"/>
    </row>
    <row r="37" spans="1:14" s="3" customFormat="1" ht="12.75">
      <c r="A37" s="120" t="str">
        <f>QUANT!A36</f>
        <v>5.6</v>
      </c>
      <c r="B37" s="120" t="str">
        <f>QUANT!B36</f>
        <v>COMP. 5.6 (72943)</v>
      </c>
      <c r="C37" s="120" t="str">
        <f>QUANT!C36</f>
        <v>Composição</v>
      </c>
      <c r="D37" s="156" t="str">
        <f>QUANT!D36</f>
        <v>Pintura de ligação com emulsão RR-2C</v>
      </c>
      <c r="E37" s="120" t="str">
        <f>QUANT!E36</f>
        <v>m²</v>
      </c>
      <c r="F37" s="391">
        <f>QUANT!F36</f>
        <v>1518.19</v>
      </c>
      <c r="G37" s="197">
        <v>2.2799999999999998</v>
      </c>
      <c r="H37" s="255">
        <f t="shared" si="2"/>
        <v>2.84</v>
      </c>
      <c r="I37" s="255">
        <f t="shared" si="3"/>
        <v>4311.6499999999996</v>
      </c>
      <c r="J37" s="254"/>
      <c r="L37" s="404"/>
      <c r="N37" s="404"/>
    </row>
    <row r="38" spans="1:14" s="3" customFormat="1" ht="36">
      <c r="A38" s="120" t="str">
        <f>QUANT!A37</f>
        <v>5.7</v>
      </c>
      <c r="B38" s="120" t="str">
        <f>QUANT!B37</f>
        <v>COMP. 5.7 (95993)</v>
      </c>
      <c r="C38" s="120" t="str">
        <f>QUANT!C37</f>
        <v>Composição</v>
      </c>
      <c r="D38" s="156" t="str">
        <f>QUANT!D37</f>
        <v>Construção de pavimento com aplicação de concreto betuminoso usinado a quente (cbuq), camada de rolamento, com espessura de 4,0 cm  exclusive transporte. af_03/2017</v>
      </c>
      <c r="E38" s="120" t="str">
        <f>QUANT!E37</f>
        <v>m³</v>
      </c>
      <c r="F38" s="391">
        <f>QUANT!F37</f>
        <v>45.54</v>
      </c>
      <c r="G38" s="197">
        <v>1487.16</v>
      </c>
      <c r="H38" s="255">
        <f t="shared" si="2"/>
        <v>1853.89</v>
      </c>
      <c r="I38" s="255">
        <f>TRUNC(F38*H38,2)</f>
        <v>84426.15</v>
      </c>
      <c r="J38" s="254"/>
      <c r="L38" s="404"/>
      <c r="N38" s="404"/>
    </row>
    <row r="39" spans="1:14" s="3" customFormat="1" ht="24">
      <c r="A39" s="120" t="str">
        <f>QUANT!A38</f>
        <v>5.8</v>
      </c>
      <c r="B39" s="120">
        <f>QUANT!B38</f>
        <v>93595</v>
      </c>
      <c r="C39" s="120" t="str">
        <f>QUANT!C38</f>
        <v>SINAPI</v>
      </c>
      <c r="D39" s="156" t="str">
        <f>QUANT!D38</f>
        <v>Transporte com caminhão basculante de 10 m3, em via urbana em revestimento primário (unidade: tonxkm). af_04/2016</v>
      </c>
      <c r="E39" s="120" t="str">
        <f>QUANT!E38</f>
        <v>txkm</v>
      </c>
      <c r="F39" s="391">
        <f>QUANT!F38</f>
        <v>1880.93</v>
      </c>
      <c r="G39" s="197">
        <v>1.64</v>
      </c>
      <c r="H39" s="255">
        <f t="shared" si="2"/>
        <v>2.04</v>
      </c>
      <c r="I39" s="255">
        <f t="shared" si="3"/>
        <v>3837.09</v>
      </c>
      <c r="J39" s="256"/>
      <c r="L39" s="404"/>
      <c r="N39" s="404"/>
    </row>
    <row r="40" spans="1:14" s="122" customFormat="1" ht="24">
      <c r="A40" s="120" t="str">
        <f>QUANT!A39</f>
        <v>5.9</v>
      </c>
      <c r="B40" s="120">
        <f>QUANT!B39</f>
        <v>95878</v>
      </c>
      <c r="C40" s="120" t="str">
        <f>QUANT!C39</f>
        <v>SINAPI</v>
      </c>
      <c r="D40" s="156" t="str">
        <f>QUANT!D39</f>
        <v>Transporte com caminhão basculante de 10 m3, em via urbana pavimentada, dmt até 30 km (unidade: tonxkm). af_12/2016</v>
      </c>
      <c r="E40" s="120" t="str">
        <f>QUANT!E39</f>
        <v>txkm</v>
      </c>
      <c r="F40" s="391">
        <f>QUANT!F39</f>
        <v>18433.189999999999</v>
      </c>
      <c r="G40" s="197">
        <v>1.51</v>
      </c>
      <c r="H40" s="255">
        <f>TRUNC((G40*(1+($D$4))),2)</f>
        <v>1.88</v>
      </c>
      <c r="I40" s="255">
        <f>TRUNC(F40*H40,2)</f>
        <v>34654.39</v>
      </c>
      <c r="J40" s="265"/>
      <c r="L40" s="404"/>
      <c r="N40" s="404"/>
    </row>
    <row r="41" spans="1:14" s="122" customFormat="1" ht="24">
      <c r="A41" s="120" t="str">
        <f>QUANT!A40</f>
        <v>5.10</v>
      </c>
      <c r="B41" s="120" t="str">
        <f>QUANT!B40</f>
        <v>COMP. 5.10 (95303)</v>
      </c>
      <c r="C41" s="120" t="str">
        <f>QUANT!C40</f>
        <v>Composição</v>
      </c>
      <c r="D41" s="156" t="str">
        <f>QUANT!D40</f>
        <v>Transporte com caminhão basculante 10 m3 de massa asfáltica para pavimentação urbana</v>
      </c>
      <c r="E41" s="120" t="str">
        <f>QUANT!E40</f>
        <v>m³xkm</v>
      </c>
      <c r="F41" s="391">
        <f>QUANT!F40</f>
        <v>209.48</v>
      </c>
      <c r="G41" s="197">
        <v>1.45</v>
      </c>
      <c r="H41" s="255">
        <f>TRUNC((G41*(1+($D$4))),2)</f>
        <v>1.8</v>
      </c>
      <c r="I41" s="255">
        <f>TRUNC(F41*H41,2)</f>
        <v>377.06</v>
      </c>
      <c r="J41" s="265">
        <f>SUM(I32:I41)</f>
        <v>151511.13</v>
      </c>
      <c r="L41" s="404"/>
      <c r="N41" s="404"/>
    </row>
    <row r="42" spans="1:14" s="122" customFormat="1" ht="12.75">
      <c r="A42" s="120"/>
      <c r="B42" s="120"/>
      <c r="C42" s="120"/>
      <c r="D42" s="156"/>
      <c r="E42" s="120"/>
      <c r="F42" s="391"/>
      <c r="G42" s="197"/>
      <c r="H42" s="196"/>
      <c r="I42" s="196"/>
      <c r="J42" s="265"/>
      <c r="L42" s="258"/>
      <c r="N42" s="404"/>
    </row>
    <row r="43" spans="1:14" s="122" customFormat="1" ht="15" customHeight="1">
      <c r="A43" s="123" t="str">
        <f>QUANT!A42</f>
        <v>6.0</v>
      </c>
      <c r="B43" s="123" t="str">
        <f>QUANT!B42</f>
        <v>VI</v>
      </c>
      <c r="C43" s="123"/>
      <c r="D43" s="136" t="str">
        <f>QUANT!D42</f>
        <v>SINALIZAÇÃO HORIZONTAL/VERTICAL</v>
      </c>
      <c r="E43" s="120"/>
      <c r="F43" s="391"/>
      <c r="G43" s="197"/>
      <c r="H43" s="196"/>
      <c r="I43" s="196"/>
      <c r="J43" s="163"/>
      <c r="N43" s="404"/>
    </row>
    <row r="44" spans="1:14" ht="24">
      <c r="A44" s="183" t="str">
        <f>QUANT!A43</f>
        <v>6.1</v>
      </c>
      <c r="B44" s="183" t="str">
        <f>QUANT!B43</f>
        <v>COMP. 6.1 (72947)</v>
      </c>
      <c r="C44" s="183" t="str">
        <f>QUANT!C43</f>
        <v>Composição</v>
      </c>
      <c r="D44" s="418" t="str">
        <f>QUANT!D43</f>
        <v>Sinalizacao horizontal com tinta retrorrefletiva a base de resina acrilica  c/ micro esfera de vidro</v>
      </c>
      <c r="E44" s="183" t="str">
        <f>QUANT!E43</f>
        <v>m²</v>
      </c>
      <c r="F44" s="392">
        <f>QUANT!F43</f>
        <v>77.38</v>
      </c>
      <c r="G44" s="197">
        <v>17.43</v>
      </c>
      <c r="H44" s="197">
        <f>TRUNC((G44*(1+($D$4))),2)</f>
        <v>21.72</v>
      </c>
      <c r="I44" s="197">
        <f>TRUNC(F44*H44,2)</f>
        <v>1680.69</v>
      </c>
      <c r="J44" s="202"/>
      <c r="L44" s="404"/>
      <c r="N44" s="404"/>
    </row>
    <row r="45" spans="1:14" ht="15" customHeight="1">
      <c r="A45" s="183" t="str">
        <f>QUANT!A44</f>
        <v>6.2</v>
      </c>
      <c r="B45" s="183">
        <f>QUANT!B44</f>
        <v>5213405</v>
      </c>
      <c r="C45" s="183" t="str">
        <f>QUANT!C44</f>
        <v>SICRO 3</v>
      </c>
      <c r="D45" s="418" t="str">
        <f>QUANT!D44</f>
        <v>Pintura de setas e zebrados - tinta base acrílica - espessura de 0,6 mm</v>
      </c>
      <c r="E45" s="183" t="str">
        <f>QUANT!E44</f>
        <v>m²</v>
      </c>
      <c r="F45" s="392">
        <f>QUANT!F44</f>
        <v>25.45</v>
      </c>
      <c r="G45" s="197">
        <v>54.55</v>
      </c>
      <c r="H45" s="197">
        <f>TRUNC((G45*(1+($D$4))),2)</f>
        <v>68</v>
      </c>
      <c r="I45" s="197">
        <f>TRUNC(F45*H45,2)</f>
        <v>1730.6</v>
      </c>
      <c r="J45" s="202"/>
      <c r="L45" s="404"/>
      <c r="N45" s="404"/>
    </row>
    <row r="46" spans="1:14" ht="24">
      <c r="A46" s="183" t="str">
        <f>QUANT!A45</f>
        <v>6.3</v>
      </c>
      <c r="B46" s="183">
        <f>QUANT!B45</f>
        <v>5213417</v>
      </c>
      <c r="C46" s="183" t="str">
        <f>QUANT!C45</f>
        <v>SICRO 3</v>
      </c>
      <c r="D46" s="418" t="str">
        <f>QUANT!D45</f>
        <v>Confecção de placa em aço nº 16 galvanizado, com película retrorrefletiva tipo I + III</v>
      </c>
      <c r="E46" s="183" t="str">
        <f>QUANT!E45</f>
        <v>m²</v>
      </c>
      <c r="F46" s="392">
        <f>QUANT!F45</f>
        <v>1.41</v>
      </c>
      <c r="G46" s="197">
        <v>455.54</v>
      </c>
      <c r="H46" s="197">
        <f>TRUNC((G46*(1+($D$4))),2)</f>
        <v>567.87</v>
      </c>
      <c r="I46" s="197">
        <f>TRUNC(F46*H46,2)</f>
        <v>800.69</v>
      </c>
      <c r="J46" s="266"/>
      <c r="L46" s="404"/>
      <c r="N46" s="404"/>
    </row>
    <row r="47" spans="1:14" ht="24">
      <c r="A47" s="183" t="str">
        <f>QUANT!A46</f>
        <v>6.4</v>
      </c>
      <c r="B47" s="183">
        <f>QUANT!B46</f>
        <v>5213855</v>
      </c>
      <c r="C47" s="183" t="str">
        <f>QUANT!C46</f>
        <v>SICRO 3</v>
      </c>
      <c r="D47" s="418" t="str">
        <f>QUANT!D46</f>
        <v>Fornecimento e implantação de suporte metálico galvanizado para placa de regulamentação - R1 - lado de 0,248 m</v>
      </c>
      <c r="E47" s="183" t="str">
        <f>QUANT!E46</f>
        <v>unid</v>
      </c>
      <c r="F47" s="392">
        <f>QUANT!F46</f>
        <v>5</v>
      </c>
      <c r="G47" s="197">
        <v>398.49</v>
      </c>
      <c r="H47" s="197">
        <f>TRUNC((G47*(1+($D$4))),2)</f>
        <v>496.75</v>
      </c>
      <c r="I47" s="197">
        <f>TRUNC(F47*H47,2)</f>
        <v>2483.75</v>
      </c>
      <c r="J47" s="266">
        <f>SUM(I44:I47)</f>
        <v>6695.73</v>
      </c>
      <c r="L47" s="404"/>
      <c r="N47" s="404"/>
    </row>
    <row r="48" spans="1:14" ht="12.75">
      <c r="A48" s="183"/>
      <c r="B48" s="86"/>
      <c r="C48" s="86"/>
      <c r="D48" s="91"/>
      <c r="E48" s="183"/>
      <c r="F48" s="392"/>
      <c r="G48" s="197"/>
      <c r="H48" s="197"/>
      <c r="I48" s="197"/>
      <c r="J48" s="202"/>
      <c r="N48" s="404"/>
    </row>
    <row r="49" spans="1:14" ht="15" customHeight="1">
      <c r="A49" s="123" t="str">
        <f>QUANT!A48</f>
        <v>7.0</v>
      </c>
      <c r="B49" s="123" t="str">
        <f>QUANT!B48</f>
        <v>VII</v>
      </c>
      <c r="C49" s="123"/>
      <c r="D49" s="136" t="str">
        <f>QUANT!D48</f>
        <v>OBRAS COMPLEMENTARES</v>
      </c>
      <c r="E49" s="120"/>
      <c r="F49" s="391"/>
      <c r="G49" s="197"/>
      <c r="H49" s="196"/>
      <c r="I49" s="196"/>
      <c r="J49" s="163"/>
      <c r="N49" s="404"/>
    </row>
    <row r="50" spans="1:14" ht="24">
      <c r="A50" s="183" t="str">
        <f>QUANT!A49</f>
        <v>7.1</v>
      </c>
      <c r="B50" s="183">
        <f>QUANT!B49</f>
        <v>94267</v>
      </c>
      <c r="C50" s="183" t="str">
        <f>QUANT!C49</f>
        <v>SINAPI</v>
      </c>
      <c r="D50" s="418" t="str">
        <f>QUANT!D49</f>
        <v>Guia (meio-fio) e sarjeta conjugados de concreto, moldada i n loco em trecho
reto com extrusora, guia 13 cm base x 22 cm altura. af_06/2016</v>
      </c>
      <c r="E50" s="183" t="str">
        <f>QUANT!E49</f>
        <v>m</v>
      </c>
      <c r="F50" s="392">
        <f>QUANT!F49</f>
        <v>478.53999999999996</v>
      </c>
      <c r="G50" s="197">
        <v>65.59</v>
      </c>
      <c r="H50" s="197">
        <f>TRUNC((G50*(1+($D$4))),2)</f>
        <v>81.760000000000005</v>
      </c>
      <c r="I50" s="197">
        <f>TRUNC(F50*H50,2)</f>
        <v>39125.43</v>
      </c>
      <c r="J50" s="202"/>
      <c r="L50" s="404"/>
      <c r="N50" s="404"/>
    </row>
    <row r="51" spans="1:14" ht="24">
      <c r="A51" s="183" t="str">
        <f>QUANT!A50</f>
        <v>7.2</v>
      </c>
      <c r="B51" s="183">
        <f>QUANT!B50</f>
        <v>94268</v>
      </c>
      <c r="C51" s="183" t="str">
        <f>QUANT!C50</f>
        <v>SINAPI</v>
      </c>
      <c r="D51" s="418" t="str">
        <f>QUANT!D50</f>
        <v>Guia (meio-fio) e sarjeta conjugados de concreto, moldada i n loco em trecho
curvo com extrusora, guia 13 cm base x 22 cm altura. af_06/2016</v>
      </c>
      <c r="E51" s="183" t="str">
        <f>QUANT!E50</f>
        <v>m</v>
      </c>
      <c r="F51" s="392">
        <f>QUANT!F50</f>
        <v>78.5</v>
      </c>
      <c r="G51" s="197">
        <v>69.81</v>
      </c>
      <c r="H51" s="197">
        <f>TRUNC((G51*(1+($D$4))),2)</f>
        <v>87.02</v>
      </c>
      <c r="I51" s="197">
        <f>TRUNC(F51*H51,2)</f>
        <v>6831.07</v>
      </c>
      <c r="J51" s="266"/>
      <c r="L51" s="404"/>
      <c r="N51" s="404"/>
    </row>
    <row r="52" spans="1:14" ht="15" customHeight="1">
      <c r="A52" s="183" t="str">
        <f>QUANT!A51</f>
        <v>7.3</v>
      </c>
      <c r="B52" s="183" t="str">
        <f>QUANT!B51</f>
        <v>COMP. 7.5</v>
      </c>
      <c r="C52" s="183" t="str">
        <f>QUANT!C51</f>
        <v>Composição</v>
      </c>
      <c r="D52" s="418" t="str">
        <f>QUANT!D51</f>
        <v>Placa esmaltada para identificação NR de Rua, dimensões 45X25cm</v>
      </c>
      <c r="E52" s="183" t="str">
        <f>QUANT!E51</f>
        <v>unid</v>
      </c>
      <c r="F52" s="392">
        <f>QUANT!F51</f>
        <v>10</v>
      </c>
      <c r="G52" s="197">
        <v>91.01</v>
      </c>
      <c r="H52" s="197">
        <f>TRUNC((G52*(1+($D$4))),2)</f>
        <v>113.45</v>
      </c>
      <c r="I52" s="197">
        <f>TRUNC(F52*H52,2)</f>
        <v>1134.5</v>
      </c>
      <c r="J52" s="266">
        <f>SUM(I50:I52)</f>
        <v>47091</v>
      </c>
      <c r="L52" s="404"/>
      <c r="N52" s="404"/>
    </row>
    <row r="53" spans="1:14" s="257" customFormat="1" ht="12.75">
      <c r="A53" s="67"/>
      <c r="B53" s="67"/>
      <c r="C53" s="67"/>
      <c r="D53" s="67"/>
      <c r="E53" s="67"/>
      <c r="F53" s="67"/>
      <c r="G53" s="196"/>
      <c r="H53" s="255"/>
      <c r="I53" s="255"/>
      <c r="J53" s="267"/>
      <c r="N53" s="404"/>
    </row>
    <row r="54" spans="1:14" s="257" customFormat="1" ht="15" customHeight="1">
      <c r="A54" s="489" t="s">
        <v>13</v>
      </c>
      <c r="B54" s="489"/>
      <c r="C54" s="268"/>
      <c r="D54" s="269"/>
      <c r="E54" s="268"/>
      <c r="F54" s="270"/>
      <c r="G54" s="271"/>
      <c r="H54" s="272"/>
      <c r="I54" s="272"/>
      <c r="J54" s="265">
        <f>SUM(J7:J53)</f>
        <v>307843.12</v>
      </c>
      <c r="N54" s="404"/>
    </row>
    <row r="56" spans="1:14" ht="15" customHeight="1">
      <c r="F56" s="147">
        <f>SUM(F7:F52)</f>
        <v>58037.614999999998</v>
      </c>
      <c r="I56" s="147"/>
      <c r="J56" s="124">
        <v>354834.77</v>
      </c>
    </row>
    <row r="57" spans="1:14" ht="15" customHeight="1">
      <c r="F57" s="147">
        <f>QUANT!F53</f>
        <v>58037.614999999998</v>
      </c>
      <c r="J57" s="124">
        <f>J56-J54</f>
        <v>46991.650000000023</v>
      </c>
    </row>
    <row r="58" spans="1:14" ht="15" customHeight="1">
      <c r="F58" s="147">
        <f>F56-F57</f>
        <v>0</v>
      </c>
      <c r="I58" s="147"/>
    </row>
  </sheetData>
  <customSheetViews>
    <customSheetView guid="{E8D46A29-8D28-49CA-936A-9705D639E1C7}">
      <selection activeCell="H4" sqref="H4"/>
      <pageMargins left="0.39370078740157483" right="0.39370078740157483" top="0.98425196850393704" bottom="0.39370078740157483" header="0.51181102362204722" footer="0.51181102362204722"/>
      <printOptions horizontalCentered="1"/>
      <pageSetup paperSize="9" scale="75" orientation="portrait" r:id="rId1"/>
      <headerFooter alignWithMargins="0"/>
    </customSheetView>
  </customSheetViews>
  <mergeCells count="9">
    <mergeCell ref="A54:B54"/>
    <mergeCell ref="J4:J5"/>
    <mergeCell ref="E4:F4"/>
    <mergeCell ref="D3:I3"/>
    <mergeCell ref="A1:C3"/>
    <mergeCell ref="A4:C4"/>
    <mergeCell ref="A5:C5"/>
    <mergeCell ref="D1:I1"/>
    <mergeCell ref="D2:I2"/>
  </mergeCells>
  <phoneticPr fontId="0" type="noConversion"/>
  <printOptions horizontalCentered="1"/>
  <pageMargins left="0.39370078740157483" right="0.19685039370078741" top="0.59055118110236227" bottom="0.39370078740157483" header="0.51181102362204722" footer="0.51181102362204722"/>
  <pageSetup paperSize="9" scale="48" fitToWidth="4" fitToHeight="0" orientation="landscape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3"/>
  <dimension ref="A1:J31"/>
  <sheetViews>
    <sheetView zoomScale="90" zoomScaleNormal="90" workbookViewId="0">
      <selection activeCell="J30" sqref="A1:J30"/>
    </sheetView>
  </sheetViews>
  <sheetFormatPr defaultRowHeight="14.25" customHeight="1"/>
  <cols>
    <col min="1" max="1" width="13.7109375" customWidth="1"/>
    <col min="2" max="2" width="59" customWidth="1"/>
    <col min="3" max="3" width="12.7109375" customWidth="1"/>
    <col min="4" max="4" width="12.140625" customWidth="1"/>
    <col min="5" max="5" width="8" customWidth="1"/>
    <col min="6" max="6" width="13.42578125" bestFit="1" customWidth="1"/>
    <col min="8" max="8" width="20.28515625" customWidth="1"/>
    <col min="9" max="9" width="9.28515625" bestFit="1" customWidth="1"/>
    <col min="10" max="10" width="21.5703125" customWidth="1"/>
  </cols>
  <sheetData>
    <row r="1" spans="1:10" ht="20.100000000000001" customHeight="1">
      <c r="A1" s="500" t="str">
        <f>QUANT!A2</f>
        <v>BAIRRO: JARDIM ESMERALDA</v>
      </c>
      <c r="B1" s="501"/>
      <c r="C1" s="501"/>
      <c r="D1" s="501"/>
      <c r="E1" s="501"/>
      <c r="F1" s="501"/>
      <c r="G1" s="501"/>
      <c r="H1" s="501"/>
      <c r="I1" s="501"/>
      <c r="J1" s="502"/>
    </row>
    <row r="2" spans="1:10" ht="28.5" customHeight="1" thickBot="1">
      <c r="A2" s="497" t="str">
        <f>QUANT!A3</f>
        <v>RUA: SETE</v>
      </c>
      <c r="B2" s="498"/>
      <c r="C2" s="498"/>
      <c r="D2" s="498"/>
      <c r="E2" s="498"/>
      <c r="F2" s="498"/>
      <c r="G2" s="498"/>
      <c r="H2" s="498"/>
      <c r="I2" s="498"/>
      <c r="J2" s="499"/>
    </row>
    <row r="3" spans="1:10" ht="23.25" hidden="1" customHeight="1">
      <c r="A3" s="206" t="str">
        <f>QUANT!A21</f>
        <v>4.0</v>
      </c>
      <c r="B3" s="207" t="str">
        <f>QUANT!D21</f>
        <v>TERRAPLENAGEM</v>
      </c>
      <c r="C3" s="207"/>
      <c r="D3" s="207"/>
      <c r="E3" s="207"/>
      <c r="F3" s="207"/>
      <c r="G3" s="207"/>
      <c r="H3" s="207"/>
      <c r="I3" s="207"/>
      <c r="J3" s="208"/>
    </row>
    <row r="4" spans="1:10" ht="15" hidden="1" customHeight="1">
      <c r="A4" s="225" t="s">
        <v>219</v>
      </c>
      <c r="B4" s="185"/>
      <c r="C4" s="185"/>
      <c r="D4" s="185"/>
      <c r="E4" s="185"/>
      <c r="F4" s="185"/>
      <c r="G4" s="185"/>
      <c r="H4" s="186"/>
      <c r="I4" s="187"/>
      <c r="J4" s="209"/>
    </row>
    <row r="5" spans="1:10" ht="23.25" hidden="1" customHeight="1">
      <c r="A5" s="203" t="s">
        <v>14</v>
      </c>
      <c r="B5" s="352" t="s">
        <v>15</v>
      </c>
      <c r="C5" s="352" t="s">
        <v>16</v>
      </c>
      <c r="D5" s="352" t="s">
        <v>10</v>
      </c>
      <c r="E5" s="352" t="s">
        <v>17</v>
      </c>
      <c r="F5" s="352" t="s">
        <v>249</v>
      </c>
      <c r="G5" s="235" t="s">
        <v>9</v>
      </c>
      <c r="H5" s="141" t="s">
        <v>18</v>
      </c>
      <c r="I5" s="352" t="s">
        <v>19</v>
      </c>
      <c r="J5" s="236" t="s">
        <v>20</v>
      </c>
    </row>
    <row r="6" spans="1:10" ht="23.25" hidden="1" customHeight="1">
      <c r="A6" s="210">
        <f>QUANT!B25</f>
        <v>100978</v>
      </c>
      <c r="B6" s="116" t="str">
        <f>QUANT!D25</f>
        <v>Carga, manobra e descarga de solos e materiais granulares em caminhão basculante 10 m³ - carga com escavadeira hidráulica (caçamba de 1,20 m³ / 155 hp) e descarga livre (unidade: t). af_07/2020</v>
      </c>
      <c r="C6" s="114" t="s">
        <v>220</v>
      </c>
      <c r="D6" s="189">
        <f>QUANT!F25</f>
        <v>754.09</v>
      </c>
      <c r="E6" s="114" t="s">
        <v>4</v>
      </c>
      <c r="F6" s="188">
        <v>2.0625</v>
      </c>
      <c r="G6" s="188" t="s">
        <v>221</v>
      </c>
      <c r="H6" s="65">
        <f>D6*F6</f>
        <v>1555.3106250000001</v>
      </c>
      <c r="I6" s="114">
        <v>1.5</v>
      </c>
      <c r="J6" s="211">
        <f>H6*I6</f>
        <v>2332.9659375000001</v>
      </c>
    </row>
    <row r="7" spans="1:10" ht="15" hidden="1" customHeight="1">
      <c r="A7" s="212"/>
      <c r="B7" s="351" t="s">
        <v>13</v>
      </c>
      <c r="C7" s="115"/>
      <c r="D7" s="190"/>
      <c r="E7" s="115"/>
      <c r="F7" s="191"/>
      <c r="G7" s="191"/>
      <c r="H7" s="192"/>
      <c r="I7" s="114"/>
      <c r="J7" s="213">
        <f>SUM(J6)</f>
        <v>2332.9659375000001</v>
      </c>
    </row>
    <row r="8" spans="1:10" ht="15.75" hidden="1" customHeight="1">
      <c r="A8" s="212"/>
      <c r="B8" s="351"/>
      <c r="C8" s="115"/>
      <c r="D8" s="190"/>
      <c r="E8" s="115"/>
      <c r="F8" s="191"/>
      <c r="G8" s="191"/>
      <c r="H8" s="192"/>
      <c r="I8" s="114"/>
      <c r="J8" s="213"/>
    </row>
    <row r="9" spans="1:10" ht="15" hidden="1" customHeight="1">
      <c r="A9" s="225" t="s">
        <v>149</v>
      </c>
      <c r="B9" s="185"/>
      <c r="C9" s="185"/>
      <c r="D9" s="185"/>
      <c r="E9" s="185"/>
      <c r="F9" s="185"/>
      <c r="G9" s="185"/>
      <c r="H9" s="186"/>
      <c r="I9" s="187"/>
      <c r="J9" s="214"/>
    </row>
    <row r="10" spans="1:10" ht="23.25" hidden="1" customHeight="1">
      <c r="A10" s="203" t="s">
        <v>14</v>
      </c>
      <c r="B10" s="352" t="s">
        <v>15</v>
      </c>
      <c r="C10" s="352" t="s">
        <v>16</v>
      </c>
      <c r="D10" s="352" t="s">
        <v>10</v>
      </c>
      <c r="E10" s="352" t="s">
        <v>17</v>
      </c>
      <c r="F10" s="352" t="s">
        <v>249</v>
      </c>
      <c r="G10" s="235" t="s">
        <v>9</v>
      </c>
      <c r="H10" s="141" t="s">
        <v>18</v>
      </c>
      <c r="I10" s="352" t="s">
        <v>19</v>
      </c>
      <c r="J10" s="236" t="s">
        <v>20</v>
      </c>
    </row>
    <row r="11" spans="1:10" ht="23.25" hidden="1" customHeight="1">
      <c r="A11" s="210">
        <f>QUANT!B25</f>
        <v>100978</v>
      </c>
      <c r="B11" s="116" t="str">
        <f>QUANT!D25</f>
        <v>Carga, manobra e descarga de solos e materiais granulares em caminhão basculante 10 m³ - carga com escavadeira hidráulica (caçamba de 1,20 m³ / 155 hp) e descarga livre (unidade: t). af_07/2020</v>
      </c>
      <c r="C11" s="188" t="s">
        <v>21</v>
      </c>
      <c r="D11" s="189">
        <f>D6</f>
        <v>754.09</v>
      </c>
      <c r="E11" s="188" t="s">
        <v>4</v>
      </c>
      <c r="F11" s="188">
        <v>2.0625</v>
      </c>
      <c r="G11" s="188" t="s">
        <v>217</v>
      </c>
      <c r="H11" s="70">
        <f>D11*F11</f>
        <v>1555.3106250000001</v>
      </c>
      <c r="I11" s="188">
        <v>14.7</v>
      </c>
      <c r="J11" s="209">
        <f>H11*I11</f>
        <v>22863.066187500001</v>
      </c>
    </row>
    <row r="12" spans="1:10" ht="14.25" hidden="1" customHeight="1" thickBot="1">
      <c r="A12" s="215"/>
      <c r="B12" s="234" t="s">
        <v>13</v>
      </c>
      <c r="C12" s="216"/>
      <c r="D12" s="216"/>
      <c r="E12" s="216"/>
      <c r="F12" s="216"/>
      <c r="G12" s="216"/>
      <c r="H12" s="216"/>
      <c r="I12" s="216"/>
      <c r="J12" s="217">
        <f>SUM(J11:J11)</f>
        <v>22863.066187500001</v>
      </c>
    </row>
    <row r="13" spans="1:10" s="127" customFormat="1" ht="12" hidden="1" customHeight="1" thickBot="1">
      <c r="A13" s="373"/>
      <c r="B13" s="242"/>
      <c r="C13" s="242"/>
      <c r="D13" s="242"/>
      <c r="E13" s="242"/>
      <c r="F13" s="242"/>
      <c r="G13" s="242"/>
      <c r="H13" s="242"/>
      <c r="I13" s="242"/>
      <c r="J13" s="374"/>
    </row>
    <row r="14" spans="1:10" ht="17.25" customHeight="1">
      <c r="A14" s="206" t="str">
        <f>QUANT!A30</f>
        <v>5.0</v>
      </c>
      <c r="B14" s="503" t="str">
        <f>QUANT!D30</f>
        <v>PAVIMENTAÇÃO</v>
      </c>
      <c r="C14" s="504"/>
      <c r="D14" s="504"/>
      <c r="E14" s="504"/>
      <c r="F14" s="504"/>
      <c r="G14" s="504"/>
      <c r="H14" s="504"/>
      <c r="I14" s="504"/>
      <c r="J14" s="505"/>
    </row>
    <row r="15" spans="1:10" ht="14.25" customHeight="1">
      <c r="A15" s="225" t="s">
        <v>219</v>
      </c>
      <c r="B15" s="193"/>
      <c r="C15" s="193"/>
      <c r="D15" s="193"/>
      <c r="E15" s="193"/>
      <c r="F15" s="193"/>
      <c r="G15" s="193"/>
      <c r="H15" s="193"/>
      <c r="I15" s="193"/>
      <c r="J15" s="218"/>
    </row>
    <row r="16" spans="1:10" ht="25.5">
      <c r="A16" s="219" t="s">
        <v>14</v>
      </c>
      <c r="B16" s="204" t="s">
        <v>15</v>
      </c>
      <c r="C16" s="204" t="s">
        <v>16</v>
      </c>
      <c r="D16" s="204" t="s">
        <v>10</v>
      </c>
      <c r="E16" s="204" t="s">
        <v>17</v>
      </c>
      <c r="F16" s="352" t="s">
        <v>249</v>
      </c>
      <c r="G16" s="235" t="s">
        <v>9</v>
      </c>
      <c r="H16" s="204" t="s">
        <v>18</v>
      </c>
      <c r="I16" s="204" t="s">
        <v>19</v>
      </c>
      <c r="J16" s="220" t="s">
        <v>20</v>
      </c>
    </row>
    <row r="17" spans="1:10" ht="38.25">
      <c r="A17" s="221" t="str">
        <f>QUANT!A33</f>
        <v>5.3</v>
      </c>
      <c r="B17" s="184" t="str">
        <f>QUANT!D33</f>
        <v>Execução e compactação de sub-base com solo estabilizado granulometricamente - exclusive escavação, carga e transporte e solo. af_09/2017</v>
      </c>
      <c r="C17" s="61" t="s">
        <v>21</v>
      </c>
      <c r="D17" s="80">
        <f>QUANT!F33</f>
        <v>303.99</v>
      </c>
      <c r="E17" s="61" t="s">
        <v>4</v>
      </c>
      <c r="F17" s="188">
        <v>2.0625</v>
      </c>
      <c r="G17" s="61" t="s">
        <v>22</v>
      </c>
      <c r="H17" s="81">
        <f>D17*F17</f>
        <v>626.979375</v>
      </c>
      <c r="I17" s="61">
        <f>I6</f>
        <v>1.5</v>
      </c>
      <c r="J17" s="222">
        <f>H17*I17</f>
        <v>940.46906250000006</v>
      </c>
    </row>
    <row r="18" spans="1:10" ht="38.25" customHeight="1">
      <c r="A18" s="221" t="str">
        <f>QUANT!A34</f>
        <v>5.4</v>
      </c>
      <c r="B18" s="184" t="str">
        <f>QUANT!D34</f>
        <v>Execução e compactação de base com solo estabilizado granulometricamente - exclusive escavação, carga e transporte e solo. af_09/2017</v>
      </c>
      <c r="C18" s="61" t="s">
        <v>21</v>
      </c>
      <c r="D18" s="80">
        <f>QUANT!F34</f>
        <v>303.99</v>
      </c>
      <c r="E18" s="61" t="s">
        <v>4</v>
      </c>
      <c r="F18" s="188">
        <v>2.0625</v>
      </c>
      <c r="G18" s="61" t="s">
        <v>22</v>
      </c>
      <c r="H18" s="81">
        <f>D18*F18</f>
        <v>626.979375</v>
      </c>
      <c r="I18" s="61">
        <f>I6</f>
        <v>1.5</v>
      </c>
      <c r="J18" s="222">
        <f>H18*I18</f>
        <v>940.46906250000006</v>
      </c>
    </row>
    <row r="19" spans="1:10" ht="15" customHeight="1">
      <c r="A19" s="237"/>
      <c r="B19" s="40" t="s">
        <v>13</v>
      </c>
      <c r="C19" s="194"/>
      <c r="D19" s="194"/>
      <c r="E19" s="194"/>
      <c r="F19" s="194"/>
      <c r="G19" s="194"/>
      <c r="H19" s="194"/>
      <c r="I19" s="194"/>
      <c r="J19" s="224">
        <f>SUM(J17:J18)</f>
        <v>1880.9381250000001</v>
      </c>
    </row>
    <row r="20" spans="1:10" ht="14.25" customHeight="1">
      <c r="A20" s="239"/>
      <c r="B20" s="240"/>
      <c r="C20" s="240"/>
      <c r="D20" s="240"/>
      <c r="E20" s="240"/>
      <c r="F20" s="240"/>
      <c r="G20" s="240"/>
      <c r="H20" s="240"/>
      <c r="I20" s="240"/>
      <c r="J20" s="241"/>
    </row>
    <row r="21" spans="1:10" ht="20.100000000000001" customHeight="1">
      <c r="A21" s="225" t="s">
        <v>144</v>
      </c>
      <c r="B21" s="195"/>
      <c r="C21" s="195"/>
      <c r="D21" s="195"/>
      <c r="E21" s="195"/>
      <c r="F21" s="195"/>
      <c r="G21" s="195"/>
      <c r="H21" s="195"/>
      <c r="I21" s="194"/>
      <c r="J21" s="222"/>
    </row>
    <row r="22" spans="1:10" ht="25.5">
      <c r="A22" s="219" t="s">
        <v>14</v>
      </c>
      <c r="B22" s="204" t="s">
        <v>15</v>
      </c>
      <c r="C22" s="204" t="s">
        <v>16</v>
      </c>
      <c r="D22" s="204" t="s">
        <v>10</v>
      </c>
      <c r="E22" s="204" t="s">
        <v>17</v>
      </c>
      <c r="F22" s="352" t="s">
        <v>249</v>
      </c>
      <c r="G22" s="235" t="s">
        <v>9</v>
      </c>
      <c r="H22" s="204" t="s">
        <v>18</v>
      </c>
      <c r="I22" s="204" t="s">
        <v>19</v>
      </c>
      <c r="J22" s="220" t="s">
        <v>20</v>
      </c>
    </row>
    <row r="23" spans="1:10" ht="38.25">
      <c r="A23" s="221" t="str">
        <f>QUANT!A33</f>
        <v>5.3</v>
      </c>
      <c r="B23" s="184" t="str">
        <f>QUANT!D33</f>
        <v>Execução e compactação de sub-base com solo estabilizado granulometricamente - exclusive escavação, carga e transporte e solo. af_09/2017</v>
      </c>
      <c r="C23" s="61" t="s">
        <v>21</v>
      </c>
      <c r="D23" s="80">
        <f>QUANT!F33</f>
        <v>303.99</v>
      </c>
      <c r="E23" s="61" t="s">
        <v>4</v>
      </c>
      <c r="F23" s="188">
        <v>2.0625</v>
      </c>
      <c r="G23" s="61" t="s">
        <v>22</v>
      </c>
      <c r="H23" s="81">
        <f>D23*F23</f>
        <v>626.979375</v>
      </c>
      <c r="I23" s="61">
        <f>I11</f>
        <v>14.7</v>
      </c>
      <c r="J23" s="222">
        <f>H23*I23</f>
        <v>9216.5968124999999</v>
      </c>
    </row>
    <row r="24" spans="1:10" ht="38.25">
      <c r="A24" s="221" t="str">
        <f>QUANT!A34</f>
        <v>5.4</v>
      </c>
      <c r="B24" s="184" t="str">
        <f>QUANT!D34</f>
        <v>Execução e compactação de base com solo estabilizado granulometricamente - exclusive escavação, carga e transporte e solo. af_09/2017</v>
      </c>
      <c r="C24" s="61" t="s">
        <v>21</v>
      </c>
      <c r="D24" s="80">
        <f>QUANT!F34</f>
        <v>303.99</v>
      </c>
      <c r="E24" s="61" t="s">
        <v>4</v>
      </c>
      <c r="F24" s="188">
        <v>2.0625</v>
      </c>
      <c r="G24" s="61" t="s">
        <v>22</v>
      </c>
      <c r="H24" s="81">
        <f>D24*F24</f>
        <v>626.979375</v>
      </c>
      <c r="I24" s="61">
        <f>I11</f>
        <v>14.7</v>
      </c>
      <c r="J24" s="222">
        <f>H24*I24</f>
        <v>9216.5968124999999</v>
      </c>
    </row>
    <row r="25" spans="1:10" ht="14.25" customHeight="1">
      <c r="A25" s="375" t="s">
        <v>13</v>
      </c>
      <c r="B25" s="252"/>
      <c r="C25" s="252"/>
      <c r="D25" s="252"/>
      <c r="E25" s="252"/>
      <c r="F25" s="252"/>
      <c r="G25" s="252"/>
      <c r="H25" s="252"/>
      <c r="I25" s="252"/>
      <c r="J25" s="376">
        <f>SUM(J23:J24)</f>
        <v>18433.193625</v>
      </c>
    </row>
    <row r="26" spans="1:10" ht="14.25" customHeight="1">
      <c r="A26" s="375"/>
      <c r="B26" s="252"/>
      <c r="C26" s="252"/>
      <c r="D26" s="252"/>
      <c r="E26" s="252"/>
      <c r="F26" s="252"/>
      <c r="G26" s="252"/>
      <c r="H26" s="252"/>
      <c r="I26" s="252"/>
      <c r="J26" s="376"/>
    </row>
    <row r="27" spans="1:10" ht="14.25" customHeight="1">
      <c r="A27" s="369" t="s">
        <v>319</v>
      </c>
      <c r="B27" s="193"/>
      <c r="C27" s="193"/>
      <c r="D27" s="193"/>
      <c r="E27" s="193"/>
      <c r="F27" s="193"/>
      <c r="G27" s="193"/>
      <c r="H27" s="193"/>
      <c r="I27" s="193"/>
      <c r="J27" s="218"/>
    </row>
    <row r="28" spans="1:10" ht="25.5">
      <c r="A28" s="219" t="s">
        <v>14</v>
      </c>
      <c r="B28" s="204" t="s">
        <v>15</v>
      </c>
      <c r="C28" s="204" t="s">
        <v>16</v>
      </c>
      <c r="D28" s="204" t="s">
        <v>10</v>
      </c>
      <c r="E28" s="204" t="s">
        <v>17</v>
      </c>
      <c r="F28" s="352" t="s">
        <v>249</v>
      </c>
      <c r="G28" s="235" t="s">
        <v>9</v>
      </c>
      <c r="H28" s="204" t="s">
        <v>18</v>
      </c>
      <c r="I28" s="204" t="s">
        <v>19</v>
      </c>
      <c r="J28" s="220" t="s">
        <v>20</v>
      </c>
    </row>
    <row r="29" spans="1:10" ht="38.25">
      <c r="A29" s="370" t="str">
        <f>QUANT!B37</f>
        <v>COMP. 5.7 (95993)</v>
      </c>
      <c r="B29" s="101" t="str">
        <f>QUANT!D37</f>
        <v>Construção de pavimento com aplicação de concreto betuminoso usinado a quente (cbuq), camada de rolamento, com espessura de 4,0 cm  exclusive transporte. af_03/2017</v>
      </c>
      <c r="C29" s="61" t="s">
        <v>181</v>
      </c>
      <c r="D29" s="80">
        <f>QUANT!F37</f>
        <v>45.54</v>
      </c>
      <c r="E29" s="61" t="s">
        <v>4</v>
      </c>
      <c r="F29" s="371">
        <v>1</v>
      </c>
      <c r="G29" s="61" t="s">
        <v>320</v>
      </c>
      <c r="H29" s="81">
        <f>D29*F29</f>
        <v>45.54</v>
      </c>
      <c r="I29" s="61">
        <v>4.5999999999999996</v>
      </c>
      <c r="J29" s="222">
        <f>INT(H29*I29*100)/100</f>
        <v>209.48</v>
      </c>
    </row>
    <row r="30" spans="1:10" ht="13.5" thickBot="1">
      <c r="A30" s="226"/>
      <c r="B30" s="238" t="s">
        <v>13</v>
      </c>
      <c r="C30" s="372"/>
      <c r="D30" s="372"/>
      <c r="E30" s="372"/>
      <c r="F30" s="372"/>
      <c r="G30" s="372"/>
      <c r="H30" s="372"/>
      <c r="I30" s="372"/>
      <c r="J30" s="227">
        <f>SUM(J29:J29)</f>
        <v>209.48</v>
      </c>
    </row>
    <row r="31" spans="1:10" ht="14.25" customHeight="1">
      <c r="A31" s="228"/>
      <c r="B31" s="229"/>
      <c r="C31" s="230"/>
      <c r="D31" s="231"/>
      <c r="E31" s="230"/>
      <c r="F31" s="230"/>
      <c r="G31" s="230"/>
      <c r="H31" s="232"/>
      <c r="I31" s="230"/>
      <c r="J31" s="233"/>
    </row>
  </sheetData>
  <customSheetViews>
    <customSheetView guid="{E8D46A29-8D28-49CA-936A-9705D639E1C7}" topLeftCell="A7">
      <selection activeCell="F28" sqref="F28:G28"/>
      <pageMargins left="0.78740157480314965" right="0.78740157480314965" top="0.98425196850393704" bottom="0.98425196850393704" header="0.51181102362204722" footer="0.51181102362204722"/>
      <printOptions horizontalCentered="1"/>
      <pageSetup scale="90" orientation="landscape" horizontalDpi="4294967293" r:id="rId1"/>
      <headerFooter alignWithMargins="0"/>
    </customSheetView>
  </customSheetViews>
  <mergeCells count="3">
    <mergeCell ref="A2:J2"/>
    <mergeCell ref="A1:J1"/>
    <mergeCell ref="B14:J14"/>
  </mergeCells>
  <phoneticPr fontId="0" type="noConversion"/>
  <printOptions horizontalCentered="1"/>
  <pageMargins left="0.78740157480314965" right="0.78740157480314965" top="0.98425196850393704" bottom="0.59055118110236227" header="0.51181102362204722" footer="0.51181102362204722"/>
  <pageSetup paperSize="9" scale="70" orientation="landscape" horizontalDpi="4294967293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5"/>
  <dimension ref="A1:P31"/>
  <sheetViews>
    <sheetView zoomScaleNormal="100" zoomScaleSheetLayoutView="110" workbookViewId="0">
      <selection activeCell="L31" sqref="A1:N31"/>
    </sheetView>
  </sheetViews>
  <sheetFormatPr defaultRowHeight="12.75"/>
  <cols>
    <col min="1" max="1" width="5.85546875" customWidth="1"/>
    <col min="2" max="2" width="6.140625" customWidth="1"/>
    <col min="3" max="3" width="28.5703125" customWidth="1"/>
    <col min="4" max="4" width="9.28515625" customWidth="1"/>
    <col min="5" max="5" width="13.85546875" customWidth="1"/>
    <col min="6" max="14" width="4.7109375" customWidth="1"/>
    <col min="15" max="15" width="19.140625" customWidth="1"/>
    <col min="16" max="16" width="18.7109375" customWidth="1"/>
  </cols>
  <sheetData>
    <row r="1" spans="1:16">
      <c r="A1" s="537" t="s">
        <v>77</v>
      </c>
      <c r="B1" s="538"/>
      <c r="C1" s="538"/>
      <c r="D1" s="538"/>
      <c r="E1" s="539"/>
      <c r="F1" s="553" t="s">
        <v>163</v>
      </c>
      <c r="G1" s="538"/>
      <c r="H1" s="538"/>
      <c r="I1" s="538"/>
      <c r="J1" s="538"/>
      <c r="K1" s="538"/>
      <c r="L1" s="538"/>
      <c r="M1" s="538"/>
      <c r="N1" s="554"/>
      <c r="O1" s="273"/>
      <c r="P1" s="274"/>
    </row>
    <row r="2" spans="1:16">
      <c r="A2" s="540"/>
      <c r="B2" s="541"/>
      <c r="C2" s="541"/>
      <c r="D2" s="541"/>
      <c r="E2" s="542"/>
      <c r="F2" s="555"/>
      <c r="G2" s="541"/>
      <c r="H2" s="541"/>
      <c r="I2" s="541"/>
      <c r="J2" s="541"/>
      <c r="K2" s="541"/>
      <c r="L2" s="541"/>
      <c r="M2" s="541"/>
      <c r="N2" s="556"/>
      <c r="P2" s="275"/>
    </row>
    <row r="3" spans="1:16">
      <c r="A3" s="543"/>
      <c r="B3" s="544"/>
      <c r="C3" s="544"/>
      <c r="D3" s="544"/>
      <c r="E3" s="545"/>
      <c r="F3" s="557"/>
      <c r="G3" s="544"/>
      <c r="H3" s="544"/>
      <c r="I3" s="544"/>
      <c r="J3" s="544"/>
      <c r="K3" s="544"/>
      <c r="L3" s="544"/>
      <c r="M3" s="544"/>
      <c r="N3" s="558"/>
      <c r="P3" s="275"/>
    </row>
    <row r="4" spans="1:16" ht="18">
      <c r="A4" s="559" t="str">
        <f>QUANT!A2</f>
        <v>BAIRRO: JARDIM ESMERALDA</v>
      </c>
      <c r="B4" s="560"/>
      <c r="C4" s="560"/>
      <c r="D4" s="560"/>
      <c r="E4" s="560"/>
      <c r="F4" s="560"/>
      <c r="G4" s="560"/>
      <c r="H4" s="560"/>
      <c r="I4" s="560"/>
      <c r="J4" s="560"/>
      <c r="K4" s="560"/>
      <c r="L4" s="560"/>
      <c r="M4" s="560"/>
      <c r="N4" s="561"/>
      <c r="P4" s="275"/>
    </row>
    <row r="5" spans="1:16" ht="15.75">
      <c r="A5" s="546"/>
      <c r="B5" s="547"/>
      <c r="C5" s="547"/>
      <c r="D5" s="547"/>
      <c r="E5" s="548"/>
      <c r="F5" s="562" t="s">
        <v>87</v>
      </c>
      <c r="G5" s="562"/>
      <c r="H5" s="562"/>
      <c r="I5" s="562"/>
      <c r="J5" s="562"/>
      <c r="K5" s="562"/>
      <c r="L5" s="562"/>
      <c r="M5" s="562"/>
      <c r="N5" s="563"/>
      <c r="P5" s="275"/>
    </row>
    <row r="6" spans="1:16">
      <c r="A6" s="223" t="s">
        <v>88</v>
      </c>
      <c r="B6" s="549" t="s">
        <v>89</v>
      </c>
      <c r="C6" s="550"/>
      <c r="D6" s="40" t="s">
        <v>90</v>
      </c>
      <c r="E6" s="40" t="s">
        <v>91</v>
      </c>
      <c r="F6" s="551">
        <v>30</v>
      </c>
      <c r="G6" s="551"/>
      <c r="H6" s="551"/>
      <c r="I6" s="551">
        <v>60</v>
      </c>
      <c r="J6" s="551"/>
      <c r="K6" s="551"/>
      <c r="L6" s="551">
        <v>90</v>
      </c>
      <c r="M6" s="551"/>
      <c r="N6" s="552"/>
      <c r="P6" s="275"/>
    </row>
    <row r="7" spans="1:16">
      <c r="A7" s="523" t="str">
        <f>RESUMO!A9</f>
        <v>I</v>
      </c>
      <c r="B7" s="525" t="str">
        <f>RESUMO!B9</f>
        <v>SERVIÇOS PRELIMINARES</v>
      </c>
      <c r="C7" s="526"/>
      <c r="D7" s="532">
        <f>E7/$E$29*100</f>
        <v>9.360673709388081</v>
      </c>
      <c r="E7" s="529">
        <f>RESUMO!C9</f>
        <v>28816.190000000002</v>
      </c>
      <c r="F7" s="515">
        <f>$E$7*F9</f>
        <v>11526.476000000002</v>
      </c>
      <c r="G7" s="516"/>
      <c r="H7" s="522"/>
      <c r="I7" s="515">
        <f>$E$7*I9</f>
        <v>8644.857</v>
      </c>
      <c r="J7" s="516"/>
      <c r="K7" s="522"/>
      <c r="L7" s="515">
        <f>$E$7*L9</f>
        <v>8644.857</v>
      </c>
      <c r="M7" s="516"/>
      <c r="N7" s="517"/>
      <c r="O7" s="2">
        <f>SUM(F7:N7)</f>
        <v>28816.190000000002</v>
      </c>
      <c r="P7" s="276">
        <f>O7-E7</f>
        <v>0</v>
      </c>
    </row>
    <row r="8" spans="1:16">
      <c r="A8" s="524"/>
      <c r="B8" s="527"/>
      <c r="C8" s="528"/>
      <c r="D8" s="533"/>
      <c r="E8" s="530"/>
      <c r="F8" s="519"/>
      <c r="G8" s="520"/>
      <c r="H8" s="521"/>
      <c r="I8" s="438"/>
      <c r="J8" s="438"/>
      <c r="K8" s="439"/>
      <c r="L8" s="437"/>
      <c r="M8" s="438"/>
      <c r="N8" s="444"/>
      <c r="P8" s="275"/>
    </row>
    <row r="9" spans="1:16">
      <c r="A9" s="524"/>
      <c r="B9" s="527"/>
      <c r="C9" s="528"/>
      <c r="D9" s="533"/>
      <c r="E9" s="531"/>
      <c r="F9" s="509">
        <v>0.4</v>
      </c>
      <c r="G9" s="510"/>
      <c r="H9" s="518"/>
      <c r="I9" s="509">
        <v>0.3</v>
      </c>
      <c r="J9" s="510"/>
      <c r="K9" s="518"/>
      <c r="L9" s="509">
        <v>0.3</v>
      </c>
      <c r="M9" s="510"/>
      <c r="N9" s="511"/>
      <c r="O9" s="63">
        <f>SUM(F9:N9)</f>
        <v>1</v>
      </c>
      <c r="P9" s="275"/>
    </row>
    <row r="10" spans="1:16" ht="12.75" customHeight="1">
      <c r="A10" s="523" t="str">
        <f>RESUMO!A12</f>
        <v>II</v>
      </c>
      <c r="B10" s="525" t="str">
        <f>RESUMO!B12</f>
        <v>ADMINISTRAÇÃO LOCAL</v>
      </c>
      <c r="C10" s="526"/>
      <c r="D10" s="532">
        <f>E10/$E$29*100</f>
        <v>4.4622241354622441</v>
      </c>
      <c r="E10" s="529">
        <f>RESUMO!C12</f>
        <v>13736.65</v>
      </c>
      <c r="F10" s="515">
        <f>$E$10*F12</f>
        <v>4120.9949999999999</v>
      </c>
      <c r="G10" s="516"/>
      <c r="H10" s="522"/>
      <c r="I10" s="515">
        <f>$E$10*I12</f>
        <v>4120.9949999999999</v>
      </c>
      <c r="J10" s="516"/>
      <c r="K10" s="522"/>
      <c r="L10" s="515">
        <f>$E$10*L12</f>
        <v>5494.66</v>
      </c>
      <c r="M10" s="516"/>
      <c r="N10" s="517"/>
      <c r="O10" s="2">
        <f>SUM(F10:N10)</f>
        <v>13736.65</v>
      </c>
      <c r="P10" s="276">
        <f>O10-E10</f>
        <v>0</v>
      </c>
    </row>
    <row r="11" spans="1:16">
      <c r="A11" s="524"/>
      <c r="B11" s="527"/>
      <c r="C11" s="528"/>
      <c r="D11" s="533"/>
      <c r="E11" s="530"/>
      <c r="F11" s="519"/>
      <c r="G11" s="520"/>
      <c r="H11" s="521"/>
      <c r="I11" s="438"/>
      <c r="J11" s="438"/>
      <c r="K11" s="439"/>
      <c r="L11" s="437"/>
      <c r="M11" s="438"/>
      <c r="N11" s="444"/>
      <c r="P11" s="275"/>
    </row>
    <row r="12" spans="1:16">
      <c r="A12" s="524"/>
      <c r="B12" s="527"/>
      <c r="C12" s="528"/>
      <c r="D12" s="534"/>
      <c r="E12" s="531"/>
      <c r="F12" s="509">
        <v>0.3</v>
      </c>
      <c r="G12" s="510"/>
      <c r="H12" s="518"/>
      <c r="I12" s="509">
        <v>0.3</v>
      </c>
      <c r="J12" s="510"/>
      <c r="K12" s="518"/>
      <c r="L12" s="509">
        <v>0.4</v>
      </c>
      <c r="M12" s="510"/>
      <c r="N12" s="511"/>
      <c r="O12" s="63">
        <f>SUM(F12:N12)</f>
        <v>1</v>
      </c>
      <c r="P12" s="275"/>
    </row>
    <row r="13" spans="1:16" ht="12.75" customHeight="1">
      <c r="A13" s="523" t="str">
        <f>RESUMO!A15</f>
        <v>III</v>
      </c>
      <c r="B13" s="525" t="str">
        <f>RESUMO!B15</f>
        <v>ENSAIOS TECNOLÓGICOS DE SOLO E ASFALTO</v>
      </c>
      <c r="C13" s="526"/>
      <c r="D13" s="532">
        <f>E13/$E$29*100</f>
        <v>1.2884972059794613</v>
      </c>
      <c r="E13" s="529">
        <f>RESUMO!C15</f>
        <v>3966.55</v>
      </c>
      <c r="F13" s="515">
        <f>$E$13*F15</f>
        <v>1189.9649999999999</v>
      </c>
      <c r="G13" s="516"/>
      <c r="H13" s="522"/>
      <c r="I13" s="515">
        <f>$E$13*I15</f>
        <v>1189.9649999999999</v>
      </c>
      <c r="J13" s="516"/>
      <c r="K13" s="522"/>
      <c r="L13" s="515">
        <f>$E$13*L15</f>
        <v>1586.6200000000001</v>
      </c>
      <c r="M13" s="516"/>
      <c r="N13" s="517"/>
      <c r="O13" s="2">
        <f>SUM(F13:N13)</f>
        <v>3966.55</v>
      </c>
      <c r="P13" s="276">
        <f>O13-E13</f>
        <v>0</v>
      </c>
    </row>
    <row r="14" spans="1:16">
      <c r="A14" s="524"/>
      <c r="B14" s="527"/>
      <c r="C14" s="528"/>
      <c r="D14" s="533"/>
      <c r="E14" s="530"/>
      <c r="F14" s="519"/>
      <c r="G14" s="520"/>
      <c r="H14" s="521"/>
      <c r="I14" s="438"/>
      <c r="J14" s="438"/>
      <c r="K14" s="439"/>
      <c r="L14" s="437"/>
      <c r="M14" s="438"/>
      <c r="N14" s="444"/>
      <c r="P14" s="275"/>
    </row>
    <row r="15" spans="1:16">
      <c r="A15" s="524"/>
      <c r="B15" s="527"/>
      <c r="C15" s="528"/>
      <c r="D15" s="534"/>
      <c r="E15" s="531"/>
      <c r="F15" s="509">
        <v>0.3</v>
      </c>
      <c r="G15" s="510"/>
      <c r="H15" s="518"/>
      <c r="I15" s="509">
        <v>0.3</v>
      </c>
      <c r="J15" s="510"/>
      <c r="K15" s="518"/>
      <c r="L15" s="509">
        <v>0.4</v>
      </c>
      <c r="M15" s="510"/>
      <c r="N15" s="511"/>
      <c r="O15" s="63">
        <f>SUM(F15:N15)</f>
        <v>1</v>
      </c>
      <c r="P15" s="275"/>
    </row>
    <row r="16" spans="1:16" ht="12.75" customHeight="1">
      <c r="A16" s="523" t="str">
        <f>RESUMO!A18</f>
        <v>IV</v>
      </c>
      <c r="B16" s="525" t="str">
        <f>RESUMO!B18</f>
        <v>TERRAPLENAGEM</v>
      </c>
      <c r="C16" s="526"/>
      <c r="D16" s="532">
        <f>E16/$E$29*100</f>
        <v>18.199487453219678</v>
      </c>
      <c r="E16" s="529">
        <f>RESUMO!C18</f>
        <v>56025.869999999995</v>
      </c>
      <c r="F16" s="512">
        <f>$E$16*F18</f>
        <v>16807.760999999999</v>
      </c>
      <c r="G16" s="513"/>
      <c r="H16" s="535"/>
      <c r="I16" s="564">
        <f>$E$16*I18</f>
        <v>16807.760999999999</v>
      </c>
      <c r="J16" s="565"/>
      <c r="K16" s="566"/>
      <c r="L16" s="564">
        <f>$E$16*L18</f>
        <v>22410.347999999998</v>
      </c>
      <c r="M16" s="565"/>
      <c r="N16" s="567"/>
      <c r="O16" s="63">
        <f>SUM(F16:N16)</f>
        <v>56025.869999999995</v>
      </c>
      <c r="P16" s="276">
        <f>O16-E16</f>
        <v>0</v>
      </c>
    </row>
    <row r="17" spans="1:16">
      <c r="A17" s="524"/>
      <c r="B17" s="527"/>
      <c r="C17" s="528"/>
      <c r="D17" s="533"/>
      <c r="E17" s="530"/>
      <c r="F17" s="519"/>
      <c r="G17" s="520"/>
      <c r="H17" s="521"/>
      <c r="I17" s="438"/>
      <c r="J17" s="438"/>
      <c r="K17" s="439"/>
      <c r="L17" s="437"/>
      <c r="M17" s="438"/>
      <c r="N17" s="444"/>
      <c r="P17" s="275"/>
    </row>
    <row r="18" spans="1:16">
      <c r="A18" s="524"/>
      <c r="B18" s="527"/>
      <c r="C18" s="528"/>
      <c r="D18" s="534"/>
      <c r="E18" s="531"/>
      <c r="F18" s="506">
        <v>0.3</v>
      </c>
      <c r="G18" s="507"/>
      <c r="H18" s="508"/>
      <c r="I18" s="509">
        <v>0.3</v>
      </c>
      <c r="J18" s="510"/>
      <c r="K18" s="518"/>
      <c r="L18" s="509">
        <v>0.4</v>
      </c>
      <c r="M18" s="510"/>
      <c r="N18" s="511"/>
      <c r="O18" s="63">
        <f>SUM(F18:N18)</f>
        <v>1</v>
      </c>
      <c r="P18" s="275"/>
    </row>
    <row r="19" spans="1:16" ht="12.75" customHeight="1">
      <c r="A19" s="523" t="str">
        <f>RESUMO!A21</f>
        <v>V</v>
      </c>
      <c r="B19" s="525" t="str">
        <f>RESUMO!B21</f>
        <v>PAVIMENTAÇÃO</v>
      </c>
      <c r="C19" s="526"/>
      <c r="D19" s="532">
        <f>E19/$E$29*100</f>
        <v>49.216994032544889</v>
      </c>
      <c r="E19" s="529">
        <f>RESUMO!C21</f>
        <v>151511.13</v>
      </c>
      <c r="F19" s="515">
        <f>$E$19*F21</f>
        <v>45453.339</v>
      </c>
      <c r="G19" s="516"/>
      <c r="H19" s="522"/>
      <c r="I19" s="515">
        <f>$E$19*I21</f>
        <v>45453.339</v>
      </c>
      <c r="J19" s="516"/>
      <c r="K19" s="522"/>
      <c r="L19" s="515">
        <f>$E$19*L21</f>
        <v>60604.452000000005</v>
      </c>
      <c r="M19" s="516"/>
      <c r="N19" s="517"/>
      <c r="O19" s="2">
        <f>SUM(F19:N19)</f>
        <v>151511.13</v>
      </c>
      <c r="P19" s="276">
        <f>O19-E19</f>
        <v>0</v>
      </c>
    </row>
    <row r="20" spans="1:16">
      <c r="A20" s="524"/>
      <c r="B20" s="527"/>
      <c r="C20" s="528"/>
      <c r="D20" s="533"/>
      <c r="E20" s="530"/>
      <c r="F20" s="519"/>
      <c r="G20" s="520"/>
      <c r="H20" s="521"/>
      <c r="I20" s="438"/>
      <c r="J20" s="438"/>
      <c r="K20" s="439"/>
      <c r="L20" s="437"/>
      <c r="M20" s="438"/>
      <c r="N20" s="444"/>
      <c r="P20" s="275"/>
    </row>
    <row r="21" spans="1:16">
      <c r="A21" s="524"/>
      <c r="B21" s="527"/>
      <c r="C21" s="528"/>
      <c r="D21" s="534"/>
      <c r="E21" s="531"/>
      <c r="F21" s="509">
        <v>0.3</v>
      </c>
      <c r="G21" s="510"/>
      <c r="H21" s="518"/>
      <c r="I21" s="509">
        <v>0.3</v>
      </c>
      <c r="J21" s="510"/>
      <c r="K21" s="518"/>
      <c r="L21" s="509">
        <v>0.4</v>
      </c>
      <c r="M21" s="510"/>
      <c r="N21" s="511"/>
      <c r="O21" s="63">
        <f>SUM(F21:N21)</f>
        <v>1</v>
      </c>
      <c r="P21" s="275"/>
    </row>
    <row r="22" spans="1:16" ht="12.75" customHeight="1">
      <c r="A22" s="523" t="str">
        <f>RESUMO!A24</f>
        <v>VI</v>
      </c>
      <c r="B22" s="525" t="str">
        <f>RESUMO!B24</f>
        <v>SINALIZAÇÃO HORIZONTAL/VERTICAL</v>
      </c>
      <c r="C22" s="526"/>
      <c r="D22" s="105"/>
      <c r="E22" s="529">
        <f>RESUMO!C24</f>
        <v>6695.73</v>
      </c>
      <c r="F22" s="515">
        <f>$E$22*F24</f>
        <v>2008.7189999999998</v>
      </c>
      <c r="G22" s="516"/>
      <c r="H22" s="522"/>
      <c r="I22" s="515">
        <f>$E$22*I24</f>
        <v>2008.7189999999998</v>
      </c>
      <c r="J22" s="516"/>
      <c r="K22" s="522"/>
      <c r="L22" s="515">
        <f>$E$22*L24</f>
        <v>2678.2919999999999</v>
      </c>
      <c r="M22" s="516"/>
      <c r="N22" s="517"/>
      <c r="O22" s="2">
        <f>SUM(F22:N22)</f>
        <v>6695.73</v>
      </c>
      <c r="P22" s="276">
        <f>O22-E22</f>
        <v>0</v>
      </c>
    </row>
    <row r="23" spans="1:16">
      <c r="A23" s="524"/>
      <c r="B23" s="527"/>
      <c r="C23" s="528"/>
      <c r="D23" s="442">
        <f>E22/$E$29*100</f>
        <v>2.17504617286883</v>
      </c>
      <c r="E23" s="530"/>
      <c r="F23" s="519"/>
      <c r="G23" s="520"/>
      <c r="H23" s="521"/>
      <c r="I23" s="438"/>
      <c r="J23" s="438"/>
      <c r="K23" s="439"/>
      <c r="L23" s="437"/>
      <c r="M23" s="438"/>
      <c r="N23" s="444"/>
      <c r="P23" s="275"/>
    </row>
    <row r="24" spans="1:16">
      <c r="A24" s="524"/>
      <c r="B24" s="527"/>
      <c r="C24" s="528"/>
      <c r="D24" s="106"/>
      <c r="E24" s="531"/>
      <c r="F24" s="509">
        <v>0.3</v>
      </c>
      <c r="G24" s="510"/>
      <c r="H24" s="518"/>
      <c r="I24" s="509">
        <v>0.3</v>
      </c>
      <c r="J24" s="510"/>
      <c r="K24" s="518"/>
      <c r="L24" s="509">
        <v>0.4</v>
      </c>
      <c r="M24" s="510"/>
      <c r="N24" s="511"/>
      <c r="O24" s="63">
        <f>SUM(F24:N24)</f>
        <v>1</v>
      </c>
      <c r="P24" s="275"/>
    </row>
    <row r="25" spans="1:16" ht="12.75" customHeight="1">
      <c r="A25" s="523" t="str">
        <f>RESUMO!A27</f>
        <v>VII</v>
      </c>
      <c r="B25" s="525" t="str">
        <f>RESUMO!B27</f>
        <v>OBRAS COMPLEMENTARES</v>
      </c>
      <c r="C25" s="526"/>
      <c r="D25" s="105"/>
      <c r="E25" s="529">
        <f>RESUMO!C27</f>
        <v>47091</v>
      </c>
      <c r="F25" s="512">
        <f>$E$25*F27</f>
        <v>14127.3</v>
      </c>
      <c r="G25" s="513"/>
      <c r="H25" s="535"/>
      <c r="I25" s="512">
        <f>$E$25*I27</f>
        <v>14127.3</v>
      </c>
      <c r="J25" s="513"/>
      <c r="K25" s="535"/>
      <c r="L25" s="512">
        <f>$E$25*L27</f>
        <v>18836.400000000001</v>
      </c>
      <c r="M25" s="513"/>
      <c r="N25" s="514"/>
      <c r="O25" s="2">
        <f>SUM(F25:N25)</f>
        <v>47091</v>
      </c>
      <c r="P25" s="276">
        <f>O25-E25</f>
        <v>0</v>
      </c>
    </row>
    <row r="26" spans="1:16">
      <c r="A26" s="524"/>
      <c r="B26" s="527"/>
      <c r="C26" s="528"/>
      <c r="D26" s="442">
        <f>E25/$E$29*100</f>
        <v>15.297077290536818</v>
      </c>
      <c r="E26" s="530"/>
      <c r="F26" s="519"/>
      <c r="G26" s="520"/>
      <c r="H26" s="521"/>
      <c r="I26" s="438"/>
      <c r="J26" s="438"/>
      <c r="K26" s="439"/>
      <c r="L26" s="437"/>
      <c r="M26" s="438"/>
      <c r="N26" s="444"/>
      <c r="P26" s="275"/>
    </row>
    <row r="27" spans="1:16">
      <c r="A27" s="524"/>
      <c r="B27" s="527"/>
      <c r="C27" s="528"/>
      <c r="D27" s="106"/>
      <c r="E27" s="531"/>
      <c r="F27" s="506">
        <v>0.3</v>
      </c>
      <c r="G27" s="507"/>
      <c r="H27" s="508"/>
      <c r="I27" s="506">
        <v>0.3</v>
      </c>
      <c r="J27" s="507"/>
      <c r="K27" s="508"/>
      <c r="L27" s="506">
        <v>0.4</v>
      </c>
      <c r="M27" s="507"/>
      <c r="N27" s="536"/>
      <c r="O27" s="63">
        <f>SUM(F27:N27)</f>
        <v>1</v>
      </c>
      <c r="P27" s="275"/>
    </row>
    <row r="28" spans="1:16">
      <c r="A28" s="440"/>
      <c r="B28" s="579"/>
      <c r="C28" s="580"/>
      <c r="D28" s="443"/>
      <c r="E28" s="441"/>
      <c r="F28" s="575"/>
      <c r="G28" s="576"/>
      <c r="H28" s="577"/>
      <c r="I28" s="575"/>
      <c r="J28" s="576"/>
      <c r="K28" s="577"/>
      <c r="L28" s="575"/>
      <c r="M28" s="576"/>
      <c r="N28" s="578"/>
      <c r="O28" s="63">
        <f>SUM(F28:N28)</f>
        <v>0</v>
      </c>
      <c r="P28" s="275"/>
    </row>
    <row r="29" spans="1:16">
      <c r="A29" s="568" t="s">
        <v>92</v>
      </c>
      <c r="B29" s="569"/>
      <c r="C29" s="570"/>
      <c r="D29" s="41">
        <f>SUM(D7:D28)</f>
        <v>100</v>
      </c>
      <c r="E29" s="42">
        <f>E7+E10+E13+E16+E19+E22+E25</f>
        <v>307843.12</v>
      </c>
      <c r="F29" s="571">
        <f>F30/$E$29</f>
        <v>0.30936067370938808</v>
      </c>
      <c r="G29" s="572"/>
      <c r="H29" s="573"/>
      <c r="I29" s="571">
        <f>I30/$E$29</f>
        <v>0.3</v>
      </c>
      <c r="J29" s="572"/>
      <c r="K29" s="573"/>
      <c r="L29" s="571">
        <f>L30/$E$29</f>
        <v>0.39063932629061199</v>
      </c>
      <c r="M29" s="572"/>
      <c r="N29" s="574"/>
      <c r="O29" s="63">
        <f>SUM(F29:N29)</f>
        <v>1</v>
      </c>
      <c r="P29" s="276" t="e">
        <f>SUM(O7+O10+O13+O16+O19+O22+O25+#REF!+#REF!+#REF!+#REF!)</f>
        <v>#REF!</v>
      </c>
    </row>
    <row r="30" spans="1:16">
      <c r="A30" s="568" t="s">
        <v>93</v>
      </c>
      <c r="B30" s="569"/>
      <c r="C30" s="570"/>
      <c r="D30" s="584" t="s">
        <v>94</v>
      </c>
      <c r="E30" s="585"/>
      <c r="F30" s="586">
        <f>F7+F10+F13+F16+F19+F22+F25</f>
        <v>95234.554999999993</v>
      </c>
      <c r="G30" s="587"/>
      <c r="H30" s="588"/>
      <c r="I30" s="586">
        <f>I7+I10+I13+I16+I19+I22+I25</f>
        <v>92352.936000000002</v>
      </c>
      <c r="J30" s="587"/>
      <c r="K30" s="588"/>
      <c r="L30" s="586">
        <f>L7+L10+L13+L16+L19+L22+L25</f>
        <v>120255.62900000002</v>
      </c>
      <c r="M30" s="587"/>
      <c r="N30" s="589"/>
      <c r="O30" s="2">
        <f>SUM(F30:N30)</f>
        <v>307843.12</v>
      </c>
      <c r="P30" s="275"/>
    </row>
    <row r="31" spans="1:16" ht="13.5" thickBot="1">
      <c r="A31" s="581"/>
      <c r="B31" s="582"/>
      <c r="C31" s="583"/>
      <c r="D31" s="590" t="s">
        <v>95</v>
      </c>
      <c r="E31" s="591"/>
      <c r="F31" s="592">
        <f>F30</f>
        <v>95234.554999999993</v>
      </c>
      <c r="G31" s="593"/>
      <c r="H31" s="594"/>
      <c r="I31" s="592">
        <f>F31+I30</f>
        <v>187587.49099999998</v>
      </c>
      <c r="J31" s="593"/>
      <c r="K31" s="594"/>
      <c r="L31" s="592">
        <f>I31+L30</f>
        <v>307843.12</v>
      </c>
      <c r="M31" s="593"/>
      <c r="N31" s="595"/>
      <c r="O31" s="277"/>
      <c r="P31" s="278" t="e">
        <f>O30-P29</f>
        <v>#REF!</v>
      </c>
    </row>
  </sheetData>
  <mergeCells count="101">
    <mergeCell ref="L30:N30"/>
    <mergeCell ref="D31:E31"/>
    <mergeCell ref="F31:H31"/>
    <mergeCell ref="I31:K31"/>
    <mergeCell ref="L31:N31"/>
    <mergeCell ref="I19:K19"/>
    <mergeCell ref="F20:H20"/>
    <mergeCell ref="I18:K18"/>
    <mergeCell ref="I22:K22"/>
    <mergeCell ref="A22:A24"/>
    <mergeCell ref="B22:C24"/>
    <mergeCell ref="A30:C31"/>
    <mergeCell ref="D30:E30"/>
    <mergeCell ref="F30:H30"/>
    <mergeCell ref="I30:K30"/>
    <mergeCell ref="A7:A9"/>
    <mergeCell ref="B7:C9"/>
    <mergeCell ref="D7:D9"/>
    <mergeCell ref="F7:H7"/>
    <mergeCell ref="I7:K7"/>
    <mergeCell ref="L7:N7"/>
    <mergeCell ref="E7:E9"/>
    <mergeCell ref="A29:C29"/>
    <mergeCell ref="F29:H29"/>
    <mergeCell ref="I29:K29"/>
    <mergeCell ref="L29:N29"/>
    <mergeCell ref="I28:K28"/>
    <mergeCell ref="L28:N28"/>
    <mergeCell ref="B28:C28"/>
    <mergeCell ref="F28:H28"/>
    <mergeCell ref="B10:C12"/>
    <mergeCell ref="D16:D18"/>
    <mergeCell ref="E16:E18"/>
    <mergeCell ref="F23:H23"/>
    <mergeCell ref="F17:H17"/>
    <mergeCell ref="F15:H15"/>
    <mergeCell ref="L15:N15"/>
    <mergeCell ref="F16:H16"/>
    <mergeCell ref="A16:A18"/>
    <mergeCell ref="A10:A12"/>
    <mergeCell ref="I15:K15"/>
    <mergeCell ref="I16:K16"/>
    <mergeCell ref="D10:D12"/>
    <mergeCell ref="F10:H10"/>
    <mergeCell ref="I10:K10"/>
    <mergeCell ref="F11:H11"/>
    <mergeCell ref="F12:H12"/>
    <mergeCell ref="L10:N10"/>
    <mergeCell ref="L16:N16"/>
    <mergeCell ref="I13:K13"/>
    <mergeCell ref="F14:H14"/>
    <mergeCell ref="E10:E12"/>
    <mergeCell ref="B16:C18"/>
    <mergeCell ref="I21:K21"/>
    <mergeCell ref="L27:N27"/>
    <mergeCell ref="F27:H27"/>
    <mergeCell ref="A1:E3"/>
    <mergeCell ref="A5:E5"/>
    <mergeCell ref="B6:C6"/>
    <mergeCell ref="F6:H6"/>
    <mergeCell ref="F9:H9"/>
    <mergeCell ref="I9:K9"/>
    <mergeCell ref="L6:N6"/>
    <mergeCell ref="F13:H13"/>
    <mergeCell ref="L9:N9"/>
    <mergeCell ref="I12:K12"/>
    <mergeCell ref="I6:K6"/>
    <mergeCell ref="L12:N12"/>
    <mergeCell ref="L13:N13"/>
    <mergeCell ref="A13:A15"/>
    <mergeCell ref="B13:C15"/>
    <mergeCell ref="D13:D15"/>
    <mergeCell ref="E13:E15"/>
    <mergeCell ref="F1:N3"/>
    <mergeCell ref="A4:N4"/>
    <mergeCell ref="F5:N5"/>
    <mergeCell ref="F8:H8"/>
    <mergeCell ref="F18:H18"/>
    <mergeCell ref="L18:N18"/>
    <mergeCell ref="L25:N25"/>
    <mergeCell ref="L22:N22"/>
    <mergeCell ref="I27:K27"/>
    <mergeCell ref="I24:K24"/>
    <mergeCell ref="F26:H26"/>
    <mergeCell ref="F22:H22"/>
    <mergeCell ref="A19:A21"/>
    <mergeCell ref="B19:C21"/>
    <mergeCell ref="A25:A27"/>
    <mergeCell ref="F21:H21"/>
    <mergeCell ref="F24:H24"/>
    <mergeCell ref="E22:E24"/>
    <mergeCell ref="L21:N21"/>
    <mergeCell ref="L19:N19"/>
    <mergeCell ref="D19:D21"/>
    <mergeCell ref="E19:E21"/>
    <mergeCell ref="B25:C27"/>
    <mergeCell ref="L24:N24"/>
    <mergeCell ref="E25:E27"/>
    <mergeCell ref="F25:H25"/>
    <mergeCell ref="I25:K25"/>
    <mergeCell ref="F19:H1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8"/>
  <dimension ref="A1:X47"/>
  <sheetViews>
    <sheetView zoomScaleNormal="100" workbookViewId="0">
      <pane ySplit="7" topLeftCell="A8" activePane="bottomLeft" state="frozen"/>
      <selection activeCell="D103" sqref="D103"/>
      <selection pane="bottomLeft" activeCell="X11" sqref="A1:X11"/>
    </sheetView>
  </sheetViews>
  <sheetFormatPr defaultRowHeight="12.75"/>
  <cols>
    <col min="1" max="1" width="18.42578125" customWidth="1"/>
    <col min="2" max="2" width="4.140625" customWidth="1"/>
    <col min="3" max="3" width="2.7109375" customWidth="1"/>
    <col min="4" max="4" width="6.85546875" customWidth="1"/>
    <col min="5" max="5" width="4.85546875" customWidth="1"/>
    <col min="6" max="6" width="2.7109375" customWidth="1"/>
    <col min="7" max="7" width="8" customWidth="1"/>
    <col min="8" max="8" width="10.85546875" customWidth="1"/>
    <col min="9" max="9" width="9.42578125" customWidth="1"/>
    <col min="10" max="11" width="8.7109375" customWidth="1"/>
    <col min="12" max="12" width="9.28515625" customWidth="1"/>
    <col min="13" max="13" width="11.5703125" customWidth="1"/>
    <col min="14" max="14" width="12.28515625" bestFit="1" customWidth="1"/>
    <col min="15" max="15" width="10.7109375" bestFit="1" customWidth="1"/>
    <col min="16" max="16" width="11.5703125" customWidth="1"/>
    <col min="17" max="17" width="10.85546875" customWidth="1"/>
    <col min="18" max="18" width="11" customWidth="1"/>
    <col min="19" max="19" width="9.42578125" customWidth="1"/>
    <col min="20" max="20" width="10" customWidth="1"/>
    <col min="21" max="21" width="12" customWidth="1"/>
    <col min="22" max="22" width="10.140625" customWidth="1"/>
    <col min="23" max="23" width="11.28515625" bestFit="1" customWidth="1"/>
    <col min="24" max="24" width="11.7109375" customWidth="1"/>
  </cols>
  <sheetData>
    <row r="1" spans="1:24" ht="20.100000000000001" customHeight="1">
      <c r="A1" s="598" t="str">
        <f>QUANT!A1</f>
        <v>PREFEITURA MUNICIPAL DE VÁRZEA GRANDE</v>
      </c>
      <c r="B1" s="598"/>
      <c r="C1" s="598"/>
      <c r="D1" s="598"/>
      <c r="E1" s="598"/>
      <c r="F1" s="598"/>
      <c r="G1" s="598"/>
      <c r="H1" s="598"/>
      <c r="I1" s="598"/>
      <c r="J1" s="598"/>
      <c r="K1" s="598"/>
      <c r="L1" s="598"/>
      <c r="M1" s="598"/>
      <c r="N1" s="598"/>
      <c r="O1" s="598"/>
      <c r="P1" s="598"/>
      <c r="Q1" s="598"/>
      <c r="R1" s="598"/>
      <c r="S1" s="598"/>
      <c r="T1" s="598"/>
      <c r="U1" s="598"/>
      <c r="V1" s="598"/>
      <c r="W1" s="598"/>
      <c r="X1" s="598"/>
    </row>
    <row r="2" spans="1:24" ht="20.100000000000001" customHeight="1">
      <c r="A2" s="598" t="str">
        <f>QUANT!A2</f>
        <v>BAIRRO: JARDIM ESMERALDA</v>
      </c>
      <c r="B2" s="598"/>
      <c r="C2" s="598"/>
      <c r="D2" s="598"/>
      <c r="E2" s="598"/>
      <c r="F2" s="598"/>
      <c r="G2" s="598"/>
      <c r="H2" s="598"/>
      <c r="I2" s="598"/>
      <c r="J2" s="598"/>
      <c r="K2" s="598"/>
      <c r="L2" s="598"/>
      <c r="M2" s="598"/>
      <c r="N2" s="598"/>
      <c r="O2" s="598"/>
      <c r="P2" s="598"/>
      <c r="Q2" s="598"/>
      <c r="R2" s="598"/>
      <c r="S2" s="598"/>
      <c r="T2" s="598"/>
      <c r="U2" s="598"/>
      <c r="V2" s="598"/>
      <c r="W2" s="598"/>
      <c r="X2" s="598"/>
    </row>
    <row r="3" spans="1:24" ht="20.100000000000001" customHeight="1">
      <c r="A3" s="599" t="str">
        <f>QUANT!A3</f>
        <v>RUA: SETE</v>
      </c>
      <c r="B3" s="599"/>
      <c r="C3" s="599"/>
      <c r="D3" s="599"/>
      <c r="E3" s="599"/>
      <c r="F3" s="599"/>
      <c r="G3" s="599"/>
      <c r="H3" s="599"/>
      <c r="I3" s="599"/>
      <c r="J3" s="599"/>
      <c r="K3" s="599"/>
      <c r="L3" s="599"/>
      <c r="M3" s="599"/>
      <c r="N3" s="599"/>
      <c r="O3" s="599"/>
      <c r="P3" s="599"/>
      <c r="Q3" s="599"/>
      <c r="R3" s="599"/>
      <c r="S3" s="599"/>
      <c r="T3" s="599"/>
      <c r="U3" s="599"/>
      <c r="V3" s="599"/>
      <c r="W3" s="599"/>
      <c r="X3" s="599"/>
    </row>
    <row r="4" spans="1:24" ht="20.100000000000001" customHeight="1">
      <c r="A4" s="600" t="s">
        <v>175</v>
      </c>
      <c r="B4" s="601"/>
      <c r="C4" s="601"/>
      <c r="D4" s="601"/>
      <c r="E4" s="601"/>
      <c r="F4" s="601"/>
      <c r="G4" s="601"/>
      <c r="H4" s="601"/>
      <c r="I4" s="601"/>
      <c r="J4" s="601"/>
      <c r="K4" s="601"/>
      <c r="L4" s="601"/>
      <c r="M4" s="601"/>
      <c r="N4" s="601"/>
      <c r="O4" s="601"/>
      <c r="P4" s="601"/>
      <c r="Q4" s="601"/>
      <c r="R4" s="601"/>
      <c r="S4" s="601"/>
      <c r="T4" s="601"/>
      <c r="U4" s="601"/>
      <c r="V4" s="601"/>
      <c r="W4" s="601"/>
      <c r="X4" s="602"/>
    </row>
    <row r="5" spans="1:24" ht="20.100000000000001" customHeight="1">
      <c r="A5" s="597" t="s">
        <v>46</v>
      </c>
      <c r="B5" s="597" t="s">
        <v>47</v>
      </c>
      <c r="C5" s="597"/>
      <c r="D5" s="597"/>
      <c r="E5" s="597"/>
      <c r="F5" s="597"/>
      <c r="G5" s="597"/>
      <c r="H5" s="596" t="s">
        <v>48</v>
      </c>
      <c r="I5" s="596" t="s">
        <v>186</v>
      </c>
      <c r="J5" s="596"/>
      <c r="K5" s="596"/>
      <c r="L5" s="596"/>
      <c r="M5" s="596" t="s">
        <v>191</v>
      </c>
      <c r="N5" s="596" t="s">
        <v>3</v>
      </c>
      <c r="O5" s="596"/>
      <c r="P5" s="596" t="s">
        <v>176</v>
      </c>
      <c r="Q5" s="596" t="s">
        <v>237</v>
      </c>
      <c r="R5" s="596" t="s">
        <v>177</v>
      </c>
      <c r="S5" s="596" t="s">
        <v>178</v>
      </c>
      <c r="T5" s="596" t="s">
        <v>179</v>
      </c>
      <c r="U5" s="596" t="s">
        <v>192</v>
      </c>
      <c r="V5" s="596" t="s">
        <v>326</v>
      </c>
      <c r="W5" s="596" t="s">
        <v>180</v>
      </c>
      <c r="X5" s="596"/>
    </row>
    <row r="6" spans="1:24" ht="20.100000000000001" customHeight="1">
      <c r="A6" s="597"/>
      <c r="B6" s="597" t="s">
        <v>49</v>
      </c>
      <c r="C6" s="597"/>
      <c r="D6" s="597"/>
      <c r="E6" s="597" t="s">
        <v>50</v>
      </c>
      <c r="F6" s="597"/>
      <c r="G6" s="597"/>
      <c r="H6" s="596"/>
      <c r="I6" s="604" t="s">
        <v>187</v>
      </c>
      <c r="J6" s="604" t="s">
        <v>190</v>
      </c>
      <c r="K6" s="604" t="s">
        <v>188</v>
      </c>
      <c r="L6" s="604" t="s">
        <v>189</v>
      </c>
      <c r="M6" s="596"/>
      <c r="N6" s="596" t="s">
        <v>51</v>
      </c>
      <c r="O6" s="596" t="s">
        <v>52</v>
      </c>
      <c r="P6" s="596"/>
      <c r="Q6" s="596"/>
      <c r="R6" s="596"/>
      <c r="S6" s="596"/>
      <c r="T6" s="596"/>
      <c r="U6" s="596"/>
      <c r="V6" s="596"/>
      <c r="W6" s="596"/>
      <c r="X6" s="596"/>
    </row>
    <row r="7" spans="1:24" ht="23.25" customHeight="1">
      <c r="A7" s="597"/>
      <c r="B7" s="597"/>
      <c r="C7" s="597"/>
      <c r="D7" s="597"/>
      <c r="E7" s="597"/>
      <c r="F7" s="597"/>
      <c r="G7" s="597"/>
      <c r="H7" s="596"/>
      <c r="I7" s="604"/>
      <c r="J7" s="604"/>
      <c r="K7" s="604"/>
      <c r="L7" s="604"/>
      <c r="M7" s="596"/>
      <c r="N7" s="596"/>
      <c r="O7" s="596"/>
      <c r="P7" s="596"/>
      <c r="Q7" s="596"/>
      <c r="R7" s="596"/>
      <c r="S7" s="596"/>
      <c r="T7" s="596"/>
      <c r="U7" s="596"/>
      <c r="V7" s="596"/>
      <c r="W7" s="419" t="s">
        <v>193</v>
      </c>
      <c r="X7" s="419" t="s">
        <v>194</v>
      </c>
    </row>
    <row r="8" spans="1:24" ht="15" customHeight="1">
      <c r="A8" s="425" t="s">
        <v>338</v>
      </c>
      <c r="B8" s="160">
        <v>0</v>
      </c>
      <c r="C8" s="424" t="s">
        <v>53</v>
      </c>
      <c r="D8" s="161">
        <v>11.5</v>
      </c>
      <c r="E8" s="160">
        <v>13</v>
      </c>
      <c r="F8" s="160" t="s">
        <v>53</v>
      </c>
      <c r="G8" s="162">
        <v>9.27</v>
      </c>
      <c r="H8" s="429">
        <f>(E8*20+G8)-(B8*20+D8)</f>
        <v>257.77</v>
      </c>
      <c r="I8" s="119">
        <v>0.5</v>
      </c>
      <c r="J8" s="119">
        <v>2.5</v>
      </c>
      <c r="K8" s="119">
        <v>2.5</v>
      </c>
      <c r="L8" s="202">
        <v>0.5</v>
      </c>
      <c r="M8" s="119">
        <f>H8*3</f>
        <v>773.31</v>
      </c>
      <c r="N8" s="200">
        <v>671.02</v>
      </c>
      <c r="O8" s="200">
        <v>26.78</v>
      </c>
      <c r="P8" s="200">
        <f>INT((I8+J8+K8+L8)*H8*100+0.5)/100</f>
        <v>1546.62</v>
      </c>
      <c r="Q8" s="416"/>
      <c r="R8" s="200">
        <f>INT((I8+J8+K8+L8)*H8*0.15*100+0.5)/100</f>
        <v>231.99</v>
      </c>
      <c r="S8" s="200">
        <f>INT((I8+J8+K8+L8)*H8*0.15*100+0.5)/100</f>
        <v>231.99</v>
      </c>
      <c r="T8" s="414">
        <f>INT((J8-0.3+K8-0.3)*H8*100+0.5)/100</f>
        <v>1134.19</v>
      </c>
      <c r="U8" s="414">
        <f>INT(((J8-0.3+K8-0.3))*H8*100+0.5)/100</f>
        <v>1134.19</v>
      </c>
      <c r="V8" s="414">
        <f>ROUND(T8*0.03,3)</f>
        <v>34.026000000000003</v>
      </c>
      <c r="W8" s="414">
        <f>(H8-X8)*2</f>
        <v>437.03999999999996</v>
      </c>
      <c r="X8" s="414">
        <f>5*7.85</f>
        <v>39.25</v>
      </c>
    </row>
    <row r="9" spans="1:24" ht="6.75" customHeight="1">
      <c r="A9" s="425"/>
      <c r="B9" s="160"/>
      <c r="C9" s="435"/>
      <c r="D9" s="161"/>
      <c r="E9" s="160"/>
      <c r="F9" s="160"/>
      <c r="G9" s="162"/>
      <c r="H9" s="429"/>
      <c r="I9" s="119"/>
      <c r="J9" s="119"/>
      <c r="K9" s="119"/>
      <c r="L9" s="119"/>
      <c r="M9" s="119"/>
      <c r="N9" s="200"/>
      <c r="O9" s="200"/>
      <c r="P9" s="200"/>
      <c r="Q9" s="416"/>
      <c r="R9" s="200"/>
      <c r="S9" s="200"/>
      <c r="T9" s="414"/>
      <c r="U9" s="414"/>
      <c r="V9" s="414"/>
      <c r="W9" s="414"/>
      <c r="X9" s="414"/>
    </row>
    <row r="10" spans="1:24" ht="24" customHeight="1">
      <c r="A10" s="425" t="s">
        <v>335</v>
      </c>
      <c r="B10" s="160"/>
      <c r="C10" s="430"/>
      <c r="D10" s="161"/>
      <c r="E10" s="160"/>
      <c r="F10" s="160"/>
      <c r="G10" s="162"/>
      <c r="H10" s="429">
        <v>60</v>
      </c>
      <c r="I10" s="119">
        <v>0.5</v>
      </c>
      <c r="J10" s="119">
        <v>3.5</v>
      </c>
      <c r="K10" s="119">
        <v>3.5</v>
      </c>
      <c r="L10" s="119">
        <v>0.5</v>
      </c>
      <c r="M10" s="119">
        <f>H10*3</f>
        <v>180</v>
      </c>
      <c r="N10" s="436">
        <f>(I10+J10+K10 +L10)*H10*0.24</f>
        <v>115.19999999999999</v>
      </c>
      <c r="O10" s="200">
        <v>0</v>
      </c>
      <c r="P10" s="200">
        <f>INT((I10+J10+K10+L10)*H10*100+0.5)/100</f>
        <v>480</v>
      </c>
      <c r="Q10" s="416"/>
      <c r="R10" s="200">
        <f>INT((I10+J10+K10+L10)*H10*0.15*100+0.5)/100</f>
        <v>72</v>
      </c>
      <c r="S10" s="200">
        <f>INT((I10+J10+K10+L10)*H10*0.15*100+0.5)/100</f>
        <v>72</v>
      </c>
      <c r="T10" s="414">
        <f>INT((J10-0.3+K10-0.3)*H10*100+0.5)/100</f>
        <v>384</v>
      </c>
      <c r="U10" s="414">
        <f>INT(((J10-0.3+K10-0.3))*H10*100+0.5)/100</f>
        <v>384</v>
      </c>
      <c r="V10" s="414">
        <f>ROUND(T10*0.03,3)</f>
        <v>11.52</v>
      </c>
      <c r="W10" s="414">
        <f>(H10-X10)*2</f>
        <v>41.5</v>
      </c>
      <c r="X10" s="414">
        <f>5*7.85</f>
        <v>39.25</v>
      </c>
    </row>
    <row r="11" spans="1:24" s="5" customFormat="1" ht="15" customHeight="1">
      <c r="A11" s="205" t="s">
        <v>13</v>
      </c>
      <c r="B11" s="603"/>
      <c r="C11" s="603"/>
      <c r="D11" s="603"/>
      <c r="E11" s="603"/>
      <c r="F11" s="603"/>
      <c r="G11" s="603"/>
      <c r="H11" s="287">
        <f>SUM(H8:H10)</f>
        <v>317.77</v>
      </c>
      <c r="I11" s="75"/>
      <c r="J11" s="75"/>
      <c r="K11" s="75"/>
      <c r="L11" s="75"/>
      <c r="M11" s="75">
        <f t="shared" ref="M11:X11" si="0">SUM(M8:M10)</f>
        <v>953.31</v>
      </c>
      <c r="N11" s="75">
        <f t="shared" si="0"/>
        <v>786.22</v>
      </c>
      <c r="O11" s="75">
        <f t="shared" si="0"/>
        <v>26.78</v>
      </c>
      <c r="P11" s="75">
        <f t="shared" si="0"/>
        <v>2026.62</v>
      </c>
      <c r="Q11" s="75">
        <f t="shared" si="0"/>
        <v>0</v>
      </c>
      <c r="R11" s="75">
        <f t="shared" si="0"/>
        <v>303.99</v>
      </c>
      <c r="S11" s="75">
        <f t="shared" si="0"/>
        <v>303.99</v>
      </c>
      <c r="T11" s="75">
        <f t="shared" si="0"/>
        <v>1518.19</v>
      </c>
      <c r="U11" s="75">
        <f t="shared" si="0"/>
        <v>1518.19</v>
      </c>
      <c r="V11" s="75">
        <f t="shared" si="0"/>
        <v>45.546000000000006</v>
      </c>
      <c r="W11" s="75">
        <f t="shared" si="0"/>
        <v>478.53999999999996</v>
      </c>
      <c r="X11" s="75">
        <f t="shared" si="0"/>
        <v>78.5</v>
      </c>
    </row>
    <row r="12" spans="1:24">
      <c r="A12" s="127"/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64"/>
      <c r="S12" s="127"/>
      <c r="T12" s="127"/>
      <c r="U12" s="127"/>
      <c r="V12" s="127"/>
      <c r="W12" s="127"/>
      <c r="X12" s="127"/>
    </row>
    <row r="13" spans="1:24" ht="12" customHeight="1"/>
    <row r="14" spans="1:24" ht="12" customHeight="1">
      <c r="H14">
        <v>390.5</v>
      </c>
      <c r="R14" s="245">
        <f>(Q11+R11+S11)</f>
        <v>607.98</v>
      </c>
    </row>
    <row r="15" spans="1:24" ht="12" customHeight="1">
      <c r="R15" s="245">
        <f>R14*1.2</f>
        <v>729.57600000000002</v>
      </c>
    </row>
    <row r="16" spans="1:24" ht="12" customHeight="1">
      <c r="H16" s="399">
        <f>H14-H11</f>
        <v>72.730000000000018</v>
      </c>
    </row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</sheetData>
  <mergeCells count="27">
    <mergeCell ref="B11:G11"/>
    <mergeCell ref="W5:X6"/>
    <mergeCell ref="J6:J7"/>
    <mergeCell ref="S5:S7"/>
    <mergeCell ref="V5:V7"/>
    <mergeCell ref="L6:L7"/>
    <mergeCell ref="H5:H7"/>
    <mergeCell ref="O6:O7"/>
    <mergeCell ref="I6:I7"/>
    <mergeCell ref="B6:D7"/>
    <mergeCell ref="N6:N7"/>
    <mergeCell ref="Q5:Q7"/>
    <mergeCell ref="K6:K7"/>
    <mergeCell ref="P5:P7"/>
    <mergeCell ref="T5:T7"/>
    <mergeCell ref="R5:R7"/>
    <mergeCell ref="U5:U7"/>
    <mergeCell ref="E6:G7"/>
    <mergeCell ref="A1:X1"/>
    <mergeCell ref="A2:X2"/>
    <mergeCell ref="A3:X3"/>
    <mergeCell ref="M5:M7"/>
    <mergeCell ref="N5:O5"/>
    <mergeCell ref="I5:L5"/>
    <mergeCell ref="A5:A7"/>
    <mergeCell ref="B5:G5"/>
    <mergeCell ref="A4:X4"/>
  </mergeCells>
  <printOptions horizontalCentered="1"/>
  <pageMargins left="0.11811023622047245" right="0.11811023622047245" top="0.59055118110236227" bottom="0.39370078740157483" header="0.31496062992125984" footer="0.31496062992125984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6"/>
  <dimension ref="A1:U44"/>
  <sheetViews>
    <sheetView zoomScale="84" zoomScaleNormal="84" workbookViewId="0">
      <selection activeCell="B27" sqref="B27"/>
    </sheetView>
  </sheetViews>
  <sheetFormatPr defaultRowHeight="12.75"/>
  <cols>
    <col min="1" max="1" width="27.28515625" customWidth="1"/>
    <col min="2" max="2" width="47.28515625" customWidth="1"/>
    <col min="3" max="3" width="10.85546875" bestFit="1" customWidth="1"/>
    <col min="4" max="4" width="11.7109375" bestFit="1" customWidth="1"/>
    <col min="5" max="5" width="10.7109375" customWidth="1"/>
    <col min="6" max="6" width="12.7109375" style="127" customWidth="1"/>
    <col min="7" max="7" width="10" style="127" customWidth="1"/>
    <col min="8" max="8" width="9.42578125" bestFit="1" customWidth="1"/>
    <col min="9" max="9" width="11.140625" bestFit="1" customWidth="1"/>
    <col min="10" max="10" width="17.7109375" customWidth="1"/>
    <col min="12" max="12" width="16.42578125" customWidth="1"/>
    <col min="13" max="13" width="9.140625" customWidth="1"/>
    <col min="14" max="14" width="13.5703125" customWidth="1"/>
    <col min="15" max="15" width="9.7109375" bestFit="1" customWidth="1"/>
  </cols>
  <sheetData>
    <row r="1" spans="1:12" ht="20.100000000000001" customHeight="1">
      <c r="A1" s="361" t="s">
        <v>77</v>
      </c>
      <c r="B1" s="361"/>
      <c r="C1" s="362"/>
      <c r="D1" s="362"/>
      <c r="E1" s="362"/>
      <c r="F1" s="362"/>
      <c r="G1" s="362"/>
      <c r="H1" s="362"/>
      <c r="I1" s="362"/>
      <c r="J1" s="363"/>
    </row>
    <row r="2" spans="1:12" ht="20.100000000000001" customHeight="1">
      <c r="A2" s="605" t="str">
        <f>QUANT!A2</f>
        <v>BAIRRO: JARDIM ESMERALDA</v>
      </c>
      <c r="B2" s="606"/>
      <c r="C2" s="606"/>
      <c r="D2" s="606"/>
      <c r="E2" s="606"/>
      <c r="F2" s="606"/>
      <c r="G2" s="606"/>
      <c r="H2" s="606"/>
      <c r="I2" s="606"/>
      <c r="J2" s="607"/>
    </row>
    <row r="3" spans="1:12" ht="30" customHeight="1">
      <c r="A3" s="627" t="str">
        <f>QUANT!A3</f>
        <v>RUA: SETE</v>
      </c>
      <c r="B3" s="628"/>
      <c r="C3" s="628"/>
      <c r="D3" s="628"/>
      <c r="E3" s="628"/>
      <c r="F3" s="628"/>
      <c r="G3" s="628"/>
      <c r="H3" s="628"/>
      <c r="I3" s="628"/>
      <c r="J3" s="629"/>
    </row>
    <row r="4" spans="1:12">
      <c r="A4" s="608" t="s">
        <v>118</v>
      </c>
      <c r="B4" s="609"/>
      <c r="C4" s="609"/>
      <c r="D4" s="609"/>
      <c r="E4" s="609"/>
      <c r="F4" s="609"/>
      <c r="G4" s="609"/>
      <c r="H4" s="609"/>
      <c r="I4" s="609"/>
      <c r="J4" s="610"/>
    </row>
    <row r="5" spans="1:12">
      <c r="A5" s="611"/>
      <c r="B5" s="612"/>
      <c r="C5" s="612"/>
      <c r="D5" s="612"/>
      <c r="E5" s="612"/>
      <c r="F5" s="612"/>
      <c r="G5" s="612"/>
      <c r="H5" s="612"/>
      <c r="I5" s="612"/>
      <c r="J5" s="613"/>
    </row>
    <row r="6" spans="1:12" ht="26.25" customHeight="1">
      <c r="A6" s="614" t="str">
        <f>A2</f>
        <v>BAIRRO: JARDIM ESMERALDA</v>
      </c>
      <c r="B6" s="615"/>
      <c r="C6" s="630" t="s">
        <v>157</v>
      </c>
      <c r="D6" s="630" t="s">
        <v>119</v>
      </c>
      <c r="E6" s="356" t="s">
        <v>120</v>
      </c>
      <c r="F6" s="356" t="s">
        <v>121</v>
      </c>
      <c r="G6" s="356" t="s">
        <v>122</v>
      </c>
      <c r="H6" s="360" t="s">
        <v>123</v>
      </c>
      <c r="I6" s="356" t="s">
        <v>124</v>
      </c>
      <c r="J6" s="356" t="s">
        <v>125</v>
      </c>
    </row>
    <row r="7" spans="1:12" ht="25.5">
      <c r="A7" s="616"/>
      <c r="B7" s="617"/>
      <c r="C7" s="630"/>
      <c r="D7" s="630"/>
      <c r="E7" s="357" t="s">
        <v>126</v>
      </c>
      <c r="F7" s="358" t="s">
        <v>127</v>
      </c>
      <c r="G7" s="359" t="s">
        <v>128</v>
      </c>
      <c r="H7" s="357" t="s">
        <v>129</v>
      </c>
      <c r="I7" s="359" t="s">
        <v>142</v>
      </c>
      <c r="J7" s="359"/>
    </row>
    <row r="8" spans="1:12" s="127" customFormat="1" ht="15">
      <c r="A8" s="432"/>
      <c r="B8" s="68" t="s">
        <v>158</v>
      </c>
      <c r="C8" s="409"/>
      <c r="D8" s="408">
        <v>0.6</v>
      </c>
      <c r="E8" s="289">
        <v>1.4</v>
      </c>
      <c r="F8" s="410">
        <v>1.6</v>
      </c>
      <c r="G8" s="410">
        <v>2.08</v>
      </c>
      <c r="H8" s="65">
        <f>SUM(F8:G8)/2</f>
        <v>1.84</v>
      </c>
      <c r="I8" s="65">
        <f>SUM(C8*E8*H8)</f>
        <v>0</v>
      </c>
      <c r="J8" s="65">
        <f>SUM(C8*E8)</f>
        <v>0</v>
      </c>
      <c r="L8" s="251"/>
    </row>
    <row r="9" spans="1:12" s="127" customFormat="1" ht="15">
      <c r="A9" s="426"/>
      <c r="B9" s="68"/>
      <c r="C9" s="409"/>
      <c r="D9" s="408"/>
      <c r="E9" s="289"/>
      <c r="F9" s="410"/>
      <c r="G9" s="410"/>
      <c r="H9" s="65"/>
      <c r="I9" s="65"/>
      <c r="J9" s="65"/>
      <c r="L9" s="251"/>
    </row>
    <row r="10" spans="1:12" s="127" customFormat="1">
      <c r="A10" s="634"/>
      <c r="B10" s="68" t="s">
        <v>158</v>
      </c>
      <c r="C10" s="250"/>
      <c r="D10" s="102">
        <v>0.8</v>
      </c>
      <c r="E10" s="289">
        <v>1.6</v>
      </c>
      <c r="F10" s="410">
        <v>2.08</v>
      </c>
      <c r="G10" s="410">
        <v>2.08</v>
      </c>
      <c r="H10" s="65">
        <f>SUM(F10:G10)/2</f>
        <v>2.08</v>
      </c>
      <c r="I10" s="65">
        <f>SUM(C10*E10*H10)</f>
        <v>0</v>
      </c>
      <c r="J10" s="65">
        <f>SUM(C10*E10)</f>
        <v>0</v>
      </c>
    </row>
    <row r="11" spans="1:12" s="127" customFormat="1" ht="15">
      <c r="A11" s="635"/>
      <c r="B11" s="68" t="s">
        <v>158</v>
      </c>
      <c r="C11" s="250"/>
      <c r="D11" s="102">
        <v>0.8</v>
      </c>
      <c r="E11" s="289">
        <v>1.6</v>
      </c>
      <c r="F11" s="411">
        <v>2.39</v>
      </c>
      <c r="G11" s="411">
        <v>0</v>
      </c>
      <c r="H11" s="65">
        <f>SUM(F11:G11)/2</f>
        <v>1.1950000000000001</v>
      </c>
      <c r="I11" s="65">
        <f>SUM(C11*E11*H11)</f>
        <v>0</v>
      </c>
      <c r="J11" s="65">
        <f>SUM(C11*E11)</f>
        <v>0</v>
      </c>
    </row>
    <row r="12" spans="1:12" s="127" customFormat="1">
      <c r="A12" s="635"/>
      <c r="B12" s="68" t="s">
        <v>158</v>
      </c>
      <c r="C12" s="250"/>
      <c r="D12" s="102">
        <v>0.8</v>
      </c>
      <c r="E12" s="289">
        <v>1.6</v>
      </c>
      <c r="F12" s="410">
        <v>1.8</v>
      </c>
      <c r="G12" s="410">
        <v>1.8</v>
      </c>
      <c r="H12" s="65">
        <f>SUM(F12:G12)/2</f>
        <v>1.8</v>
      </c>
      <c r="I12" s="65">
        <f>SUM(C12*E12*H12)</f>
        <v>0</v>
      </c>
      <c r="J12" s="65">
        <f>SUM(C12*E12)</f>
        <v>0</v>
      </c>
    </row>
    <row r="13" spans="1:12" s="127" customFormat="1" ht="15">
      <c r="A13" s="636"/>
      <c r="B13" s="68" t="s">
        <v>158</v>
      </c>
      <c r="C13" s="250"/>
      <c r="D13" s="102">
        <v>0.8</v>
      </c>
      <c r="E13" s="289">
        <v>1.6</v>
      </c>
      <c r="F13" s="411">
        <v>2.42</v>
      </c>
      <c r="G13" s="411">
        <v>0</v>
      </c>
      <c r="H13" s="65">
        <f>SUM(F13:G13)/2</f>
        <v>1.21</v>
      </c>
      <c r="I13" s="65">
        <f>SUM(C13*E13*H13)</f>
        <v>0</v>
      </c>
      <c r="J13" s="65">
        <f>SUM(C13*E13)</f>
        <v>0</v>
      </c>
    </row>
    <row r="14" spans="1:12" s="127" customFormat="1" ht="15">
      <c r="A14" s="431"/>
      <c r="B14" s="68"/>
      <c r="C14" s="409"/>
      <c r="D14" s="408"/>
      <c r="E14" s="289"/>
      <c r="F14" s="410"/>
      <c r="G14" s="410"/>
      <c r="H14" s="65"/>
      <c r="I14" s="65"/>
      <c r="J14" s="65"/>
      <c r="L14" s="251"/>
    </row>
    <row r="15" spans="1:12" s="127" customFormat="1">
      <c r="A15" s="634"/>
      <c r="B15" s="68" t="s">
        <v>158</v>
      </c>
      <c r="C15" s="250"/>
      <c r="D15" s="102">
        <v>0.8</v>
      </c>
      <c r="E15" s="289">
        <v>1.6</v>
      </c>
      <c r="F15" s="410">
        <v>1.8</v>
      </c>
      <c r="G15" s="410">
        <v>1.8</v>
      </c>
      <c r="H15" s="65">
        <f>SUM(F15:G15)/2</f>
        <v>1.8</v>
      </c>
      <c r="I15" s="65">
        <f>SUM(C15*E15*H15)</f>
        <v>0</v>
      </c>
      <c r="J15" s="65">
        <f>SUM(C15*E15)</f>
        <v>0</v>
      </c>
    </row>
    <row r="16" spans="1:12" s="127" customFormat="1" ht="15">
      <c r="A16" s="635"/>
      <c r="B16" s="68" t="s">
        <v>158</v>
      </c>
      <c r="C16" s="250"/>
      <c r="D16" s="102">
        <v>0.8</v>
      </c>
      <c r="E16" s="289">
        <v>1.6</v>
      </c>
      <c r="F16" s="411">
        <v>1.8</v>
      </c>
      <c r="G16" s="411">
        <v>2.7</v>
      </c>
      <c r="H16" s="65">
        <f>SUM(F16:G16)/2</f>
        <v>2.25</v>
      </c>
      <c r="I16" s="65">
        <f>SUM(C16*E16*H16)</f>
        <v>0</v>
      </c>
      <c r="J16" s="65">
        <f>SUM(C16*E16)</f>
        <v>0</v>
      </c>
    </row>
    <row r="17" spans="1:21" s="127" customFormat="1">
      <c r="A17" s="635"/>
      <c r="B17" s="68" t="s">
        <v>158</v>
      </c>
      <c r="C17" s="250"/>
      <c r="D17" s="102">
        <v>0.8</v>
      </c>
      <c r="E17" s="289">
        <v>1.6</v>
      </c>
      <c r="F17" s="410">
        <v>3.0680000000000001</v>
      </c>
      <c r="G17" s="410">
        <v>0</v>
      </c>
      <c r="H17" s="65">
        <f>SUM(F17:G17)/2</f>
        <v>1.534</v>
      </c>
      <c r="I17" s="65">
        <f>SUM(C17*E17*H17)</f>
        <v>0</v>
      </c>
      <c r="J17" s="65">
        <f>SUM(C17*E17)</f>
        <v>0</v>
      </c>
    </row>
    <row r="18" spans="1:21" s="127" customFormat="1">
      <c r="A18" s="401"/>
      <c r="B18" s="68"/>
      <c r="C18" s="250"/>
      <c r="D18" s="102"/>
      <c r="E18" s="289"/>
      <c r="F18" s="107"/>
      <c r="G18" s="107"/>
      <c r="H18" s="65"/>
      <c r="I18" s="65"/>
      <c r="J18" s="65"/>
    </row>
    <row r="19" spans="1:21" ht="15">
      <c r="A19" s="353" t="s">
        <v>301</v>
      </c>
      <c r="B19" s="243" t="s">
        <v>302</v>
      </c>
      <c r="C19" s="178">
        <f>(C21+C22+C23)*6</f>
        <v>0</v>
      </c>
      <c r="D19" s="412">
        <v>0.6</v>
      </c>
      <c r="E19" s="289">
        <v>1.4</v>
      </c>
      <c r="F19" s="107">
        <v>1.6</v>
      </c>
      <c r="G19" s="107">
        <v>1.6</v>
      </c>
      <c r="H19" s="65">
        <v>1.6140000000000001</v>
      </c>
      <c r="I19" s="65">
        <f>SUM(C19*E19*H19)</f>
        <v>0</v>
      </c>
      <c r="J19" s="65">
        <f>SUM(C19*E19)</f>
        <v>0</v>
      </c>
    </row>
    <row r="20" spans="1:21" ht="15">
      <c r="A20" s="354"/>
      <c r="B20" s="364"/>
      <c r="C20" s="179"/>
      <c r="D20" s="179"/>
      <c r="E20" s="65"/>
      <c r="F20" s="428"/>
      <c r="G20" s="428"/>
      <c r="H20" s="65"/>
      <c r="I20" s="65"/>
      <c r="J20" s="65"/>
    </row>
    <row r="21" spans="1:21">
      <c r="A21" s="633" t="s">
        <v>303</v>
      </c>
      <c r="B21" s="365" t="s">
        <v>130</v>
      </c>
      <c r="C21" s="70"/>
      <c r="D21" s="65">
        <v>1.6</v>
      </c>
      <c r="E21" s="72">
        <v>2.2000000000000002</v>
      </c>
      <c r="F21" s="70"/>
      <c r="G21" s="70"/>
      <c r="H21" s="117">
        <v>1.7</v>
      </c>
      <c r="I21" s="117">
        <f>C21*D21*E21*H21</f>
        <v>0</v>
      </c>
      <c r="J21" s="118">
        <f>C21*E21</f>
        <v>0</v>
      </c>
    </row>
    <row r="22" spans="1:21">
      <c r="A22" s="633"/>
      <c r="B22" s="365" t="s">
        <v>304</v>
      </c>
      <c r="C22" s="70"/>
      <c r="D22" s="65">
        <v>1.6</v>
      </c>
      <c r="E22" s="72">
        <v>3.2</v>
      </c>
      <c r="F22" s="70"/>
      <c r="G22" s="70"/>
      <c r="H22" s="117">
        <v>1.7</v>
      </c>
      <c r="I22" s="117">
        <f>C22*D22*E22*H22</f>
        <v>0</v>
      </c>
      <c r="J22" s="118">
        <f>C22*E22</f>
        <v>0</v>
      </c>
      <c r="L22" s="399">
        <f>J22/10</f>
        <v>0</v>
      </c>
    </row>
    <row r="23" spans="1:21" ht="15" customHeight="1">
      <c r="A23" s="633"/>
      <c r="B23" s="365" t="s">
        <v>305</v>
      </c>
      <c r="C23" s="70"/>
      <c r="D23" s="65">
        <v>1.6</v>
      </c>
      <c r="E23" s="72">
        <v>4.2</v>
      </c>
      <c r="F23" s="70"/>
      <c r="G23" s="70"/>
      <c r="H23" s="117">
        <v>1.7</v>
      </c>
      <c r="I23" s="117">
        <f>C23*D23*E23*H23</f>
        <v>0</v>
      </c>
      <c r="J23" s="118">
        <f>C23*E23</f>
        <v>0</v>
      </c>
    </row>
    <row r="24" spans="1:21">
      <c r="A24" s="631"/>
      <c r="B24" s="126" t="s">
        <v>131</v>
      </c>
      <c r="C24" s="70"/>
      <c r="D24" s="69"/>
      <c r="E24" s="71"/>
      <c r="F24" s="70"/>
      <c r="G24" s="70"/>
      <c r="H24" s="70"/>
      <c r="I24" s="64">
        <f>SUM(I8:I23)</f>
        <v>0</v>
      </c>
      <c r="J24" s="72"/>
      <c r="M24" s="638" t="s">
        <v>196</v>
      </c>
      <c r="N24" s="639"/>
    </row>
    <row r="25" spans="1:21">
      <c r="A25" s="632"/>
      <c r="B25" s="126" t="s">
        <v>132</v>
      </c>
      <c r="C25" s="70"/>
      <c r="D25" s="73"/>
      <c r="E25" s="71"/>
      <c r="F25" s="70"/>
      <c r="G25" s="70"/>
      <c r="H25" s="70"/>
      <c r="I25" s="64"/>
      <c r="J25" s="75">
        <f>SUM(J8:J23)</f>
        <v>0</v>
      </c>
      <c r="M25" s="640"/>
      <c r="N25" s="641"/>
    </row>
    <row r="26" spans="1:21">
      <c r="A26" s="631"/>
      <c r="B26" s="68" t="s">
        <v>226</v>
      </c>
      <c r="C26" s="70">
        <v>0</v>
      </c>
      <c r="D26" s="74">
        <f>1.8*2.7*1.5*C26</f>
        <v>0</v>
      </c>
      <c r="E26" s="65" t="s">
        <v>7</v>
      </c>
      <c r="F26" s="70"/>
      <c r="G26" s="70"/>
      <c r="H26" s="70"/>
      <c r="I26" s="70"/>
      <c r="J26" s="75"/>
      <c r="M26" s="642" t="s">
        <v>197</v>
      </c>
      <c r="N26" s="642" t="s">
        <v>198</v>
      </c>
      <c r="O26" t="s">
        <v>199</v>
      </c>
      <c r="P26" t="s">
        <v>200</v>
      </c>
      <c r="Q26" t="s">
        <v>201</v>
      </c>
      <c r="R26" t="s">
        <v>202</v>
      </c>
      <c r="T26" s="108" t="s">
        <v>203</v>
      </c>
      <c r="U26" s="108"/>
    </row>
    <row r="27" spans="1:21">
      <c r="A27" s="631"/>
      <c r="B27" s="68" t="s">
        <v>182</v>
      </c>
      <c r="C27" s="70">
        <v>0</v>
      </c>
      <c r="D27" s="74">
        <f>2.6*2.85*2*C27</f>
        <v>0</v>
      </c>
      <c r="E27" s="65" t="s">
        <v>7</v>
      </c>
      <c r="F27" s="618"/>
      <c r="G27" s="619"/>
      <c r="H27" s="619"/>
      <c r="I27" s="619"/>
      <c r="J27" s="620"/>
      <c r="M27" s="637"/>
      <c r="N27" s="637"/>
      <c r="O27" s="108"/>
      <c r="P27" s="109"/>
      <c r="Q27" s="109"/>
      <c r="R27" s="110"/>
      <c r="S27" s="110"/>
      <c r="T27" s="108"/>
      <c r="U27" s="108"/>
    </row>
    <row r="28" spans="1:21">
      <c r="A28" s="631"/>
      <c r="B28" s="68" t="s">
        <v>133</v>
      </c>
      <c r="C28" s="70"/>
      <c r="D28" s="74">
        <f>2.3*1.9*2.7*C28</f>
        <v>0</v>
      </c>
      <c r="E28" s="65" t="s">
        <v>7</v>
      </c>
      <c r="F28" s="621"/>
      <c r="G28" s="622"/>
      <c r="H28" s="622"/>
      <c r="I28" s="622"/>
      <c r="J28" s="623"/>
      <c r="M28" s="637">
        <v>0.6</v>
      </c>
      <c r="N28" s="637">
        <v>1.4</v>
      </c>
      <c r="O28" s="108">
        <v>0.08</v>
      </c>
      <c r="P28" s="109">
        <v>0.1</v>
      </c>
      <c r="Q28" s="109">
        <v>0.15</v>
      </c>
      <c r="R28" s="110">
        <v>0.26131135415323647</v>
      </c>
      <c r="S28" s="110"/>
      <c r="T28" s="108">
        <v>0.76</v>
      </c>
      <c r="U28" s="108"/>
    </row>
    <row r="29" spans="1:21">
      <c r="A29" s="631"/>
      <c r="B29" s="76" t="s">
        <v>306</v>
      </c>
      <c r="C29" s="70">
        <f>C19</f>
        <v>0</v>
      </c>
      <c r="D29" s="74">
        <f>0.76^2*3.1416*C29/4</f>
        <v>0</v>
      </c>
      <c r="E29" s="65" t="s">
        <v>4</v>
      </c>
      <c r="F29" s="621"/>
      <c r="G29" s="622"/>
      <c r="H29" s="622"/>
      <c r="I29" s="622"/>
      <c r="J29" s="623"/>
      <c r="M29" s="637">
        <v>0.8</v>
      </c>
      <c r="N29" s="637">
        <v>1.6</v>
      </c>
      <c r="O29" s="108">
        <v>0.1</v>
      </c>
      <c r="P29" s="109">
        <v>0.1</v>
      </c>
      <c r="Q29" s="109">
        <v>0.2</v>
      </c>
      <c r="R29" s="110">
        <v>0.32645317547305497</v>
      </c>
      <c r="S29" s="110"/>
      <c r="T29" s="108">
        <v>1</v>
      </c>
      <c r="U29" s="108"/>
    </row>
    <row r="30" spans="1:21">
      <c r="A30" s="631"/>
      <c r="B30" s="76" t="s">
        <v>134</v>
      </c>
      <c r="C30" s="70">
        <f>SUMIFS($C$8:$C$17,$D$8:$D$17,"0,60")</f>
        <v>0</v>
      </c>
      <c r="D30" s="74">
        <f>0.76^2*3.1416*C30/4</f>
        <v>0</v>
      </c>
      <c r="E30" s="65" t="s">
        <v>4</v>
      </c>
      <c r="F30" s="621"/>
      <c r="G30" s="622"/>
      <c r="H30" s="622"/>
      <c r="I30" s="622"/>
      <c r="J30" s="623"/>
      <c r="M30" s="637">
        <v>1</v>
      </c>
      <c r="N30" s="637">
        <v>1.8</v>
      </c>
      <c r="O30" s="108">
        <v>0.12</v>
      </c>
      <c r="P30" s="109">
        <v>0.15</v>
      </c>
      <c r="Q30" s="109">
        <v>0.25</v>
      </c>
      <c r="R30" s="110">
        <v>0.48390640260736917</v>
      </c>
      <c r="S30" s="110"/>
      <c r="T30" s="108">
        <v>1.24</v>
      </c>
      <c r="U30" s="108"/>
    </row>
    <row r="31" spans="1:21">
      <c r="A31" s="631"/>
      <c r="B31" s="76" t="s">
        <v>135</v>
      </c>
      <c r="C31" s="70">
        <f>SUMIFS($C$8:$C$17,$D$8:$D$17,"0,80")</f>
        <v>0</v>
      </c>
      <c r="D31" s="74">
        <f>1^2*3.1416*C31/4</f>
        <v>0</v>
      </c>
      <c r="E31" s="65" t="s">
        <v>4</v>
      </c>
      <c r="F31" s="621"/>
      <c r="G31" s="622"/>
      <c r="H31" s="622"/>
      <c r="I31" s="622"/>
      <c r="J31" s="623"/>
      <c r="M31" s="108">
        <v>1.2</v>
      </c>
      <c r="N31" s="108">
        <v>2</v>
      </c>
      <c r="O31" s="108">
        <v>0.13</v>
      </c>
      <c r="P31" s="109">
        <v>0.15</v>
      </c>
      <c r="Q31" s="109">
        <v>0.3</v>
      </c>
      <c r="R31" s="110">
        <v>0.57269958883836369</v>
      </c>
      <c r="S31" s="110"/>
      <c r="T31" s="108">
        <v>1.46</v>
      </c>
      <c r="U31" s="108"/>
    </row>
    <row r="32" spans="1:21">
      <c r="A32" s="631"/>
      <c r="B32" s="76" t="s">
        <v>136</v>
      </c>
      <c r="C32" s="70">
        <f>SUMIFS($C$8:$C$11,$D$8:$D$11,"1,00")</f>
        <v>0</v>
      </c>
      <c r="D32" s="74">
        <f>1.24^2*3.1416*C32/4</f>
        <v>0</v>
      </c>
      <c r="E32" s="65" t="s">
        <v>4</v>
      </c>
      <c r="F32" s="621"/>
      <c r="G32" s="622"/>
      <c r="H32" s="622"/>
      <c r="I32" s="622"/>
      <c r="J32" s="623"/>
      <c r="M32" s="108">
        <v>1.5</v>
      </c>
      <c r="N32" s="108">
        <v>2.2999999999999998</v>
      </c>
      <c r="O32" s="108">
        <v>0.13</v>
      </c>
      <c r="P32" s="109">
        <v>0.15</v>
      </c>
      <c r="Q32" s="109">
        <v>0.375</v>
      </c>
      <c r="R32" s="110">
        <v>0.73187335634533468</v>
      </c>
      <c r="S32" s="110"/>
      <c r="T32" s="108">
        <v>1.76</v>
      </c>
      <c r="U32" s="108"/>
    </row>
    <row r="33" spans="1:21">
      <c r="A33" s="631"/>
      <c r="B33" s="76" t="s">
        <v>137</v>
      </c>
      <c r="C33" s="70">
        <f>SUMIFS($C$8:$C$8,$D$8:$D$8,"1,20")</f>
        <v>0</v>
      </c>
      <c r="D33" s="180">
        <f>1.24^2*3.1416*C33/4</f>
        <v>0</v>
      </c>
      <c r="E33" s="65" t="s">
        <v>4</v>
      </c>
      <c r="F33" s="621"/>
      <c r="G33" s="622"/>
      <c r="H33" s="622"/>
      <c r="I33" s="622"/>
      <c r="J33" s="623"/>
    </row>
    <row r="34" spans="1:21">
      <c r="A34" s="631"/>
      <c r="B34" s="76" t="s">
        <v>195</v>
      </c>
      <c r="C34" s="70">
        <f>SUMIFS($C$8:$C$8,$D$8:$D$8,"1,50")</f>
        <v>0</v>
      </c>
      <c r="D34" s="74">
        <f>1.76^2*3.1416*C34/4</f>
        <v>0</v>
      </c>
      <c r="E34" s="65" t="s">
        <v>4</v>
      </c>
      <c r="F34" s="621"/>
      <c r="G34" s="622"/>
      <c r="H34" s="622"/>
      <c r="I34" s="622"/>
      <c r="J34" s="623"/>
      <c r="M34" s="108">
        <v>0.6</v>
      </c>
      <c r="N34" s="108">
        <v>1.4</v>
      </c>
      <c r="O34" s="108">
        <v>0.08</v>
      </c>
      <c r="P34" s="109">
        <v>0.1</v>
      </c>
      <c r="Q34" s="109">
        <v>0.15</v>
      </c>
      <c r="R34" s="110">
        <v>0.26131135415323647</v>
      </c>
      <c r="S34" s="110"/>
      <c r="T34" s="108">
        <v>0.76</v>
      </c>
      <c r="U34" s="108"/>
    </row>
    <row r="35" spans="1:21">
      <c r="A35" s="631"/>
      <c r="B35" s="76" t="s">
        <v>130</v>
      </c>
      <c r="C35" s="70">
        <f>C21</f>
        <v>0</v>
      </c>
      <c r="D35" s="74">
        <f>I21</f>
        <v>0</v>
      </c>
      <c r="E35" s="65" t="s">
        <v>4</v>
      </c>
      <c r="F35" s="621"/>
      <c r="G35" s="622"/>
      <c r="H35" s="622"/>
      <c r="I35" s="622"/>
      <c r="J35" s="623"/>
      <c r="M35" s="108">
        <v>0.8</v>
      </c>
      <c r="N35" s="108">
        <v>1.6</v>
      </c>
      <c r="O35" s="108">
        <v>0.1</v>
      </c>
      <c r="P35" s="109">
        <v>0.1</v>
      </c>
      <c r="Q35" s="109">
        <v>0.2</v>
      </c>
      <c r="R35" s="110">
        <v>0.32645317547305497</v>
      </c>
      <c r="S35" s="110"/>
      <c r="T35" s="108">
        <v>1</v>
      </c>
      <c r="U35" s="108"/>
    </row>
    <row r="36" spans="1:21">
      <c r="A36" s="631"/>
      <c r="B36" s="76" t="s">
        <v>138</v>
      </c>
      <c r="C36" s="70">
        <f>C22</f>
        <v>0</v>
      </c>
      <c r="D36" s="74">
        <f>I22</f>
        <v>0</v>
      </c>
      <c r="E36" s="65" t="s">
        <v>4</v>
      </c>
      <c r="F36" s="621"/>
      <c r="G36" s="622"/>
      <c r="H36" s="622"/>
      <c r="I36" s="622"/>
      <c r="J36" s="623"/>
      <c r="M36" s="108">
        <v>1</v>
      </c>
      <c r="N36" s="108">
        <v>1.8</v>
      </c>
      <c r="O36" s="108">
        <v>0.12</v>
      </c>
      <c r="P36" s="109">
        <v>0.15</v>
      </c>
      <c r="Q36" s="109">
        <v>0.25</v>
      </c>
      <c r="R36" s="110">
        <v>0.483906402607369</v>
      </c>
      <c r="S36" s="110"/>
      <c r="T36" s="108">
        <v>1.24</v>
      </c>
      <c r="U36" s="108"/>
    </row>
    <row r="37" spans="1:21">
      <c r="A37" s="631"/>
      <c r="B37" s="76" t="s">
        <v>150</v>
      </c>
      <c r="C37" s="70">
        <f>C23</f>
        <v>0</v>
      </c>
      <c r="D37" s="74">
        <f>I23</f>
        <v>0</v>
      </c>
      <c r="E37" s="65" t="s">
        <v>4</v>
      </c>
      <c r="F37" s="621"/>
      <c r="G37" s="622"/>
      <c r="H37" s="622"/>
      <c r="I37" s="622"/>
      <c r="J37" s="623"/>
      <c r="M37" s="108">
        <v>1.2</v>
      </c>
      <c r="N37" s="108">
        <v>2</v>
      </c>
      <c r="O37" s="108">
        <v>0.13</v>
      </c>
      <c r="P37" s="109">
        <v>0.15</v>
      </c>
      <c r="Q37" s="109">
        <v>0.3</v>
      </c>
      <c r="R37" s="110">
        <v>0.57269958883836369</v>
      </c>
      <c r="S37" s="110"/>
      <c r="T37" s="108">
        <v>1.46</v>
      </c>
      <c r="U37" s="108"/>
    </row>
    <row r="38" spans="1:21">
      <c r="A38" s="631"/>
      <c r="B38" s="76" t="s">
        <v>140</v>
      </c>
      <c r="C38" s="117"/>
      <c r="D38" s="180">
        <v>0</v>
      </c>
      <c r="E38" s="65" t="s">
        <v>4</v>
      </c>
      <c r="F38" s="621"/>
      <c r="G38" s="622"/>
      <c r="H38" s="622"/>
      <c r="I38" s="622"/>
      <c r="J38" s="623"/>
      <c r="M38" s="108">
        <v>1.5</v>
      </c>
      <c r="N38" s="108">
        <v>2.2999999999999998</v>
      </c>
      <c r="O38" s="108">
        <v>0.13</v>
      </c>
      <c r="P38" s="109">
        <v>0.15</v>
      </c>
      <c r="Q38" s="109">
        <v>0.375</v>
      </c>
      <c r="R38" s="110">
        <v>0.73187335634533468</v>
      </c>
      <c r="S38" s="110"/>
      <c r="T38" s="108">
        <v>1.76</v>
      </c>
      <c r="U38" s="108"/>
    </row>
    <row r="39" spans="1:21" ht="15" customHeight="1">
      <c r="A39" s="631"/>
      <c r="B39" s="417" t="s">
        <v>141</v>
      </c>
      <c r="C39" s="117">
        <v>0</v>
      </c>
      <c r="D39" s="244">
        <f>'DRENO PROF'!J17</f>
        <v>0</v>
      </c>
      <c r="E39" s="65" t="s">
        <v>4</v>
      </c>
      <c r="F39" s="621"/>
      <c r="G39" s="622"/>
      <c r="H39" s="622"/>
      <c r="I39" s="622"/>
      <c r="J39" s="623"/>
    </row>
    <row r="40" spans="1:21">
      <c r="A40" s="631"/>
      <c r="B40" s="77" t="s">
        <v>143</v>
      </c>
      <c r="C40" s="117">
        <v>0</v>
      </c>
      <c r="D40" s="180"/>
      <c r="E40" s="65" t="s">
        <v>4</v>
      </c>
      <c r="F40" s="621"/>
      <c r="G40" s="622"/>
      <c r="H40" s="622"/>
      <c r="I40" s="622"/>
      <c r="J40" s="623"/>
    </row>
    <row r="41" spans="1:21">
      <c r="A41" s="631"/>
      <c r="B41" s="77" t="s">
        <v>159</v>
      </c>
      <c r="C41" s="117">
        <v>0</v>
      </c>
      <c r="D41" s="181"/>
      <c r="E41" s="65" t="s">
        <v>4</v>
      </c>
      <c r="F41" s="621"/>
      <c r="G41" s="622"/>
      <c r="H41" s="622"/>
      <c r="I41" s="622"/>
      <c r="J41" s="623"/>
    </row>
    <row r="42" spans="1:21">
      <c r="A42" s="631"/>
      <c r="B42" s="77" t="s">
        <v>160</v>
      </c>
      <c r="C42" s="402">
        <v>0</v>
      </c>
      <c r="D42" s="182"/>
      <c r="E42" s="65" t="s">
        <v>4</v>
      </c>
      <c r="F42" s="621"/>
      <c r="G42" s="622"/>
      <c r="H42" s="622"/>
      <c r="I42" s="622"/>
      <c r="J42" s="623"/>
    </row>
    <row r="43" spans="1:21">
      <c r="A43" s="632"/>
      <c r="B43" s="78" t="s">
        <v>139</v>
      </c>
      <c r="C43" s="402">
        <v>0</v>
      </c>
      <c r="D43" s="130"/>
      <c r="E43" s="65" t="s">
        <v>5</v>
      </c>
      <c r="F43" s="621"/>
      <c r="G43" s="622"/>
      <c r="H43" s="622"/>
      <c r="I43" s="622"/>
      <c r="J43" s="623"/>
    </row>
    <row r="44" spans="1:21">
      <c r="A44" s="79"/>
      <c r="B44" s="128" t="s">
        <v>151</v>
      </c>
      <c r="C44" s="403">
        <v>0</v>
      </c>
      <c r="D44" s="131">
        <f>C29*0.2613+C30*0.2613+C31+C32*0.3265+C34*0.4829+C33*0.5727*0.7319</f>
        <v>0</v>
      </c>
      <c r="E44" s="65" t="s">
        <v>4</v>
      </c>
      <c r="F44" s="624"/>
      <c r="G44" s="625"/>
      <c r="H44" s="625"/>
      <c r="I44" s="625"/>
      <c r="J44" s="626"/>
    </row>
  </sheetData>
  <mergeCells count="18">
    <mergeCell ref="M29:N29"/>
    <mergeCell ref="M30:N30"/>
    <mergeCell ref="C6:C7"/>
    <mergeCell ref="M27:N27"/>
    <mergeCell ref="M24:N25"/>
    <mergeCell ref="M26:N26"/>
    <mergeCell ref="M28:N28"/>
    <mergeCell ref="A2:J2"/>
    <mergeCell ref="A4:J5"/>
    <mergeCell ref="A6:B7"/>
    <mergeCell ref="F27:J44"/>
    <mergeCell ref="A3:J3"/>
    <mergeCell ref="D6:D7"/>
    <mergeCell ref="A24:A25"/>
    <mergeCell ref="A21:A23"/>
    <mergeCell ref="A26:A43"/>
    <mergeCell ref="A10:A13"/>
    <mergeCell ref="A15:A1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ilha1"/>
  <dimension ref="A1:K31"/>
  <sheetViews>
    <sheetView showGridLines="0" workbookViewId="0">
      <selection activeCell="K31" sqref="A1:K31"/>
    </sheetView>
  </sheetViews>
  <sheetFormatPr defaultRowHeight="12.75"/>
  <cols>
    <col min="1" max="1" width="13.7109375" customWidth="1"/>
    <col min="2" max="2" width="19.42578125" customWidth="1"/>
    <col min="3" max="3" width="15.42578125" bestFit="1" customWidth="1"/>
    <col min="4" max="4" width="11.7109375" bestFit="1" customWidth="1"/>
    <col min="5" max="5" width="8.85546875" customWidth="1"/>
    <col min="6" max="6" width="17.85546875" bestFit="1" customWidth="1"/>
    <col min="7" max="7" width="2.7109375" customWidth="1"/>
    <col min="8" max="8" width="16" bestFit="1" customWidth="1"/>
    <col min="9" max="9" width="11.42578125" bestFit="1" customWidth="1"/>
    <col min="10" max="10" width="8.42578125" customWidth="1"/>
    <col min="11" max="11" width="17.7109375" bestFit="1" customWidth="1"/>
  </cols>
  <sheetData>
    <row r="1" spans="1:11" ht="20.100000000000001" customHeight="1">
      <c r="A1" s="643" t="s">
        <v>345</v>
      </c>
      <c r="B1" s="644"/>
      <c r="C1" s="644"/>
      <c r="D1" s="644"/>
      <c r="E1" s="644"/>
      <c r="F1" s="644"/>
      <c r="G1" s="644"/>
      <c r="H1" s="644"/>
      <c r="I1" s="644"/>
      <c r="J1" s="644"/>
      <c r="K1" s="645"/>
    </row>
    <row r="2" spans="1:11" ht="8.1" customHeight="1">
      <c r="A2" s="335"/>
      <c r="B2" s="290"/>
      <c r="C2" s="290"/>
      <c r="D2" s="290"/>
      <c r="E2" s="290"/>
      <c r="F2" s="290"/>
      <c r="G2" s="291"/>
      <c r="H2" s="290"/>
      <c r="I2" s="290"/>
      <c r="J2" s="290"/>
      <c r="K2" s="294"/>
    </row>
    <row r="3" spans="1:11">
      <c r="A3" s="646" t="s">
        <v>261</v>
      </c>
      <c r="B3" s="647"/>
      <c r="C3" s="652" t="s">
        <v>262</v>
      </c>
      <c r="D3" s="653"/>
      <c r="E3" s="653"/>
      <c r="F3" s="653"/>
      <c r="G3" s="292"/>
      <c r="H3" s="654" t="s">
        <v>263</v>
      </c>
      <c r="I3" s="653"/>
      <c r="J3" s="653"/>
      <c r="K3" s="655"/>
    </row>
    <row r="4" spans="1:11">
      <c r="A4" s="648"/>
      <c r="B4" s="649"/>
      <c r="C4" s="294" t="s">
        <v>264</v>
      </c>
      <c r="D4" s="295" t="s">
        <v>265</v>
      </c>
      <c r="E4" s="295" t="s">
        <v>266</v>
      </c>
      <c r="F4" s="656" t="s">
        <v>267</v>
      </c>
      <c r="G4" s="657"/>
      <c r="H4" s="294" t="s">
        <v>264</v>
      </c>
      <c r="I4" s="295" t="s">
        <v>265</v>
      </c>
      <c r="J4" s="295" t="s">
        <v>266</v>
      </c>
      <c r="K4" s="659" t="s">
        <v>267</v>
      </c>
    </row>
    <row r="5" spans="1:11">
      <c r="A5" s="650"/>
      <c r="B5" s="651"/>
      <c r="C5" s="294" t="s">
        <v>268</v>
      </c>
      <c r="D5" s="295" t="s">
        <v>268</v>
      </c>
      <c r="E5" s="295" t="s">
        <v>269</v>
      </c>
      <c r="F5" s="656"/>
      <c r="G5" s="658"/>
      <c r="H5" s="294" t="s">
        <v>268</v>
      </c>
      <c r="I5" s="295" t="s">
        <v>268</v>
      </c>
      <c r="J5" s="295" t="s">
        <v>269</v>
      </c>
      <c r="K5" s="659"/>
    </row>
    <row r="6" spans="1:11" ht="8.1" customHeight="1">
      <c r="A6" s="335"/>
      <c r="B6" s="290"/>
      <c r="C6" s="290"/>
      <c r="D6" s="290"/>
      <c r="E6" s="290"/>
      <c r="F6" s="290"/>
      <c r="G6" s="298"/>
      <c r="H6" s="290"/>
      <c r="I6" s="290"/>
      <c r="J6" s="290"/>
      <c r="K6" s="294"/>
    </row>
    <row r="7" spans="1:11">
      <c r="A7" s="652" t="str">
        <f>'TERRAP E PAVIM'!A8</f>
        <v>RUA SETE</v>
      </c>
      <c r="B7" s="653"/>
      <c r="C7" s="653"/>
      <c r="D7" s="653"/>
      <c r="E7" s="653"/>
      <c r="F7" s="653"/>
      <c r="G7" s="653"/>
      <c r="H7" s="653"/>
      <c r="I7" s="653"/>
      <c r="J7" s="653"/>
      <c r="K7" s="655"/>
    </row>
    <row r="8" spans="1:11">
      <c r="A8" s="299" t="s">
        <v>270</v>
      </c>
      <c r="B8" s="295"/>
      <c r="C8" s="300">
        <f>'TERRAP E PAVIM'!H8-C9-(1*3.5)</f>
        <v>239.26999999999998</v>
      </c>
      <c r="D8" s="300">
        <v>0.1</v>
      </c>
      <c r="E8" s="300">
        <f>D8*C8*0.25</f>
        <v>5.9817499999999999</v>
      </c>
      <c r="F8" s="296" t="s">
        <v>271</v>
      </c>
      <c r="G8" s="301"/>
      <c r="H8" s="302">
        <v>0</v>
      </c>
      <c r="I8" s="300">
        <v>0.1</v>
      </c>
      <c r="J8" s="300">
        <f>I8*H8*0.25</f>
        <v>0</v>
      </c>
      <c r="K8" s="297" t="s">
        <v>271</v>
      </c>
    </row>
    <row r="9" spans="1:11">
      <c r="A9" s="299" t="s">
        <v>270</v>
      </c>
      <c r="B9" s="295"/>
      <c r="C9" s="300">
        <f>1*15</f>
        <v>15</v>
      </c>
      <c r="D9" s="300">
        <v>0.1</v>
      </c>
      <c r="E9" s="300">
        <f>D9*C9</f>
        <v>1.5</v>
      </c>
      <c r="F9" s="296" t="s">
        <v>272</v>
      </c>
      <c r="G9" s="303"/>
      <c r="H9" s="302">
        <f>('TERRAP E PAVIM'!H8*2)-10*3.5</f>
        <v>480.53999999999996</v>
      </c>
      <c r="I9" s="300">
        <v>0.1</v>
      </c>
      <c r="J9" s="300">
        <f>I9*H9</f>
        <v>48.054000000000002</v>
      </c>
      <c r="K9" s="297" t="s">
        <v>272</v>
      </c>
    </row>
    <row r="10" spans="1:11">
      <c r="A10" s="652" t="str">
        <f>'TERRAP E PAVIM'!A10</f>
        <v>LIMPA RODA</v>
      </c>
      <c r="B10" s="653"/>
      <c r="C10" s="653"/>
      <c r="D10" s="653"/>
      <c r="E10" s="653"/>
      <c r="F10" s="653"/>
      <c r="G10" s="653"/>
      <c r="H10" s="653"/>
      <c r="I10" s="653"/>
      <c r="J10" s="653"/>
      <c r="K10" s="655"/>
    </row>
    <row r="11" spans="1:11">
      <c r="A11" s="299" t="s">
        <v>270</v>
      </c>
      <c r="B11" s="295"/>
      <c r="C11" s="300">
        <f>100-C12-(4*3.5)</f>
        <v>26</v>
      </c>
      <c r="D11" s="300">
        <v>0.1</v>
      </c>
      <c r="E11" s="300">
        <f>D11*C11*0.25</f>
        <v>0.65</v>
      </c>
      <c r="F11" s="296" t="s">
        <v>271</v>
      </c>
      <c r="G11" s="301"/>
      <c r="H11" s="302">
        <v>0</v>
      </c>
      <c r="I11" s="300">
        <v>0.1</v>
      </c>
      <c r="J11" s="300">
        <f>I11*H11*0.25</f>
        <v>0</v>
      </c>
      <c r="K11" s="297" t="s">
        <v>271</v>
      </c>
    </row>
    <row r="12" spans="1:11">
      <c r="A12" s="299" t="s">
        <v>270</v>
      </c>
      <c r="B12" s="295"/>
      <c r="C12" s="300">
        <f>4*15</f>
        <v>60</v>
      </c>
      <c r="D12" s="300">
        <v>0.1</v>
      </c>
      <c r="E12" s="300">
        <f>D12*C12</f>
        <v>6</v>
      </c>
      <c r="F12" s="296" t="s">
        <v>272</v>
      </c>
      <c r="G12" s="433"/>
      <c r="H12" s="302">
        <f>('TERRAP E PAVIM'!H10*2)-8*3.5</f>
        <v>92</v>
      </c>
      <c r="I12" s="300">
        <v>0.1</v>
      </c>
      <c r="J12" s="300">
        <f>I12*H12</f>
        <v>9.2000000000000011</v>
      </c>
      <c r="K12" s="297" t="s">
        <v>272</v>
      </c>
    </row>
    <row r="13" spans="1:11">
      <c r="A13" s="336"/>
      <c r="B13" s="337"/>
      <c r="C13" s="338"/>
      <c r="D13" s="338"/>
      <c r="E13" s="338"/>
      <c r="F13" s="339"/>
      <c r="G13" s="339"/>
      <c r="H13" s="338"/>
      <c r="I13" s="338"/>
      <c r="J13" s="338"/>
      <c r="K13" s="293"/>
    </row>
    <row r="14" spans="1:11">
      <c r="A14" s="336"/>
      <c r="B14" s="337"/>
      <c r="C14" s="338"/>
      <c r="D14" s="338"/>
      <c r="E14" s="338"/>
      <c r="F14" s="304"/>
      <c r="G14" s="339"/>
      <c r="H14" s="339"/>
      <c r="I14" s="339"/>
      <c r="J14" s="339"/>
      <c r="K14" s="293"/>
    </row>
    <row r="15" spans="1:11" ht="15.75">
      <c r="A15" s="662" t="s">
        <v>273</v>
      </c>
      <c r="B15" s="662"/>
      <c r="C15" s="662"/>
      <c r="D15" s="662"/>
      <c r="E15" s="662"/>
      <c r="F15" s="662"/>
      <c r="G15" s="662"/>
      <c r="H15" s="340"/>
      <c r="I15" s="340"/>
      <c r="J15" s="340"/>
      <c r="K15" s="341"/>
    </row>
    <row r="16" spans="1:11">
      <c r="A16" s="295" t="s">
        <v>274</v>
      </c>
      <c r="B16" s="295" t="s">
        <v>13</v>
      </c>
      <c r="C16" s="305">
        <f>C8+C11</f>
        <v>265.27</v>
      </c>
      <c r="D16" s="306" t="s">
        <v>6</v>
      </c>
      <c r="E16" s="307" t="s">
        <v>266</v>
      </c>
      <c r="F16" s="308">
        <f>E8+E11</f>
        <v>6.6317500000000003</v>
      </c>
      <c r="G16" s="309" t="s">
        <v>5</v>
      </c>
      <c r="H16" s="342"/>
      <c r="I16" s="342"/>
      <c r="J16" s="342"/>
      <c r="K16" s="343"/>
    </row>
    <row r="17" spans="1:11">
      <c r="A17" s="295" t="s">
        <v>272</v>
      </c>
      <c r="B17" s="295" t="s">
        <v>275</v>
      </c>
      <c r="C17" s="305">
        <f>C9+C12</f>
        <v>75</v>
      </c>
      <c r="D17" s="306" t="s">
        <v>6</v>
      </c>
      <c r="E17" s="310" t="s">
        <v>266</v>
      </c>
      <c r="F17" s="308">
        <f>E9+E12</f>
        <v>7.5</v>
      </c>
      <c r="G17" s="309" t="s">
        <v>5</v>
      </c>
      <c r="H17" s="342"/>
      <c r="I17" s="342"/>
      <c r="J17" s="342"/>
      <c r="K17" s="343"/>
    </row>
    <row r="18" spans="1:11">
      <c r="A18" s="335"/>
      <c r="B18" s="290"/>
      <c r="C18" s="311"/>
      <c r="D18" s="312"/>
      <c r="E18" s="313"/>
      <c r="F18" s="314"/>
      <c r="G18" s="342"/>
      <c r="H18" s="342"/>
      <c r="I18" s="342"/>
      <c r="J18" s="342"/>
      <c r="K18" s="343"/>
    </row>
    <row r="19" spans="1:11" ht="15.75">
      <c r="A19" s="662" t="s">
        <v>276</v>
      </c>
      <c r="B19" s="662"/>
      <c r="C19" s="662"/>
      <c r="D19" s="662"/>
      <c r="E19" s="662"/>
      <c r="F19" s="662"/>
      <c r="G19" s="662"/>
      <c r="H19" s="342"/>
      <c r="I19" s="342"/>
      <c r="J19" s="342"/>
      <c r="K19" s="343"/>
    </row>
    <row r="20" spans="1:11">
      <c r="A20" s="295" t="s">
        <v>274</v>
      </c>
      <c r="B20" s="295" t="s">
        <v>13</v>
      </c>
      <c r="C20" s="305">
        <f>H8+H11</f>
        <v>0</v>
      </c>
      <c r="D20" s="306" t="s">
        <v>6</v>
      </c>
      <c r="E20" s="307" t="s">
        <v>266</v>
      </c>
      <c r="F20" s="308">
        <f>J8+J11</f>
        <v>0</v>
      </c>
      <c r="G20" s="309" t="s">
        <v>5</v>
      </c>
      <c r="H20" s="342"/>
      <c r="I20" s="342"/>
      <c r="J20" s="342"/>
      <c r="K20" s="343"/>
    </row>
    <row r="21" spans="1:11">
      <c r="A21" s="295" t="s">
        <v>272</v>
      </c>
      <c r="B21" s="295" t="s">
        <v>275</v>
      </c>
      <c r="C21" s="305">
        <f>H9+H12</f>
        <v>572.54</v>
      </c>
      <c r="D21" s="306" t="s">
        <v>6</v>
      </c>
      <c r="E21" s="310" t="s">
        <v>266</v>
      </c>
      <c r="F21" s="308">
        <f>J9+J12</f>
        <v>57.254000000000005</v>
      </c>
      <c r="G21" s="309" t="s">
        <v>5</v>
      </c>
      <c r="H21" s="342"/>
      <c r="I21" s="342"/>
      <c r="J21" s="342"/>
      <c r="K21" s="343"/>
    </row>
    <row r="22" spans="1:11">
      <c r="A22" s="344"/>
      <c r="B22" s="315"/>
      <c r="C22" s="316"/>
      <c r="D22" s="317"/>
      <c r="E22" s="318"/>
      <c r="F22" s="319"/>
      <c r="G22" s="345"/>
      <c r="H22" s="346"/>
      <c r="I22" s="346"/>
      <c r="J22" s="346"/>
      <c r="K22" s="347"/>
    </row>
    <row r="23" spans="1:11" ht="15.75">
      <c r="A23" s="663" t="s">
        <v>277</v>
      </c>
      <c r="B23" s="664"/>
      <c r="C23" s="664"/>
      <c r="D23" s="664"/>
      <c r="E23" s="664"/>
      <c r="F23" s="664"/>
      <c r="G23" s="665"/>
      <c r="H23" s="337"/>
      <c r="I23" s="337"/>
      <c r="J23" s="337"/>
      <c r="K23" s="348"/>
    </row>
    <row r="24" spans="1:11">
      <c r="A24" s="666" t="s">
        <v>278</v>
      </c>
      <c r="B24" s="666"/>
      <c r="C24" s="321">
        <f>F21</f>
        <v>57.254000000000005</v>
      </c>
      <c r="D24" s="320" t="s">
        <v>5</v>
      </c>
      <c r="E24" s="322"/>
      <c r="F24" s="323"/>
      <c r="G24" s="324"/>
      <c r="H24" s="338"/>
      <c r="I24" s="338"/>
      <c r="J24" s="338"/>
      <c r="K24" s="349"/>
    </row>
    <row r="25" spans="1:11">
      <c r="A25" s="660" t="s">
        <v>279</v>
      </c>
      <c r="B25" s="661"/>
      <c r="C25" s="321">
        <f>F20</f>
        <v>0</v>
      </c>
      <c r="D25" s="320" t="s">
        <v>5</v>
      </c>
      <c r="E25" s="322"/>
      <c r="F25" s="323"/>
      <c r="G25" s="324"/>
      <c r="H25" s="338"/>
      <c r="I25" s="338"/>
      <c r="J25" s="338"/>
      <c r="K25" s="349"/>
    </row>
    <row r="26" spans="1:11">
      <c r="A26" s="660" t="s">
        <v>280</v>
      </c>
      <c r="B26" s="661"/>
      <c r="C26" s="321">
        <f>(5*1.2)</f>
        <v>6</v>
      </c>
      <c r="D26" s="320" t="s">
        <v>5</v>
      </c>
      <c r="E26" s="322"/>
      <c r="F26" s="323"/>
      <c r="G26" s="325"/>
      <c r="H26" s="337"/>
      <c r="I26" s="337"/>
      <c r="J26" s="337"/>
      <c r="K26" s="348"/>
    </row>
    <row r="27" spans="1:11">
      <c r="A27" s="660" t="s">
        <v>281</v>
      </c>
      <c r="B27" s="661"/>
      <c r="C27" s="326">
        <f>F16</f>
        <v>6.6317500000000003</v>
      </c>
      <c r="D27" s="320" t="s">
        <v>5</v>
      </c>
      <c r="E27" s="322"/>
      <c r="F27" s="323"/>
      <c r="G27" s="325"/>
      <c r="H27" s="337"/>
      <c r="I27" s="337"/>
      <c r="J27" s="337"/>
      <c r="K27" s="348"/>
    </row>
    <row r="28" spans="1:11">
      <c r="A28" s="320" t="s">
        <v>282</v>
      </c>
      <c r="B28" s="320"/>
      <c r="C28" s="321">
        <f>F17</f>
        <v>7.5</v>
      </c>
      <c r="D28" s="320" t="s">
        <v>5</v>
      </c>
      <c r="E28" s="322"/>
      <c r="F28" s="323"/>
      <c r="G28" s="325"/>
      <c r="H28" s="337"/>
      <c r="I28" s="337"/>
      <c r="J28" s="337"/>
      <c r="K28" s="348"/>
    </row>
    <row r="29" spans="1:11">
      <c r="A29" s="320" t="s">
        <v>283</v>
      </c>
      <c r="B29" s="320"/>
      <c r="C29" s="321">
        <f>C28+C27+C26+C24</f>
        <v>77.385750000000002</v>
      </c>
      <c r="D29" s="320" t="s">
        <v>5</v>
      </c>
      <c r="E29" s="297"/>
      <c r="F29" s="296"/>
      <c r="G29" s="325"/>
      <c r="H29" s="337"/>
      <c r="I29" s="337"/>
      <c r="J29" s="338"/>
      <c r="K29" s="348"/>
    </row>
    <row r="30" spans="1:11">
      <c r="A30" s="320" t="s">
        <v>284</v>
      </c>
      <c r="B30" s="320"/>
      <c r="C30" s="321">
        <v>0</v>
      </c>
      <c r="D30" s="320" t="s">
        <v>5</v>
      </c>
      <c r="E30" s="297"/>
      <c r="F30" s="296"/>
      <c r="G30" s="325"/>
      <c r="H30" s="337"/>
      <c r="I30" s="337"/>
      <c r="J30" s="337"/>
      <c r="K30" s="348"/>
    </row>
    <row r="31" spans="1:11">
      <c r="A31" s="320" t="s">
        <v>285</v>
      </c>
      <c r="B31" s="297"/>
      <c r="C31" s="321">
        <f>5*3.89+C26</f>
        <v>25.45</v>
      </c>
      <c r="D31" s="320" t="s">
        <v>5</v>
      </c>
      <c r="E31" s="297"/>
      <c r="F31" s="296"/>
      <c r="G31" s="325"/>
      <c r="H31" s="298"/>
      <c r="I31" s="298"/>
      <c r="J31" s="298"/>
      <c r="K31" s="350"/>
    </row>
  </sheetData>
  <mergeCells count="16">
    <mergeCell ref="A27:B27"/>
    <mergeCell ref="A15:G15"/>
    <mergeCell ref="A7:K7"/>
    <mergeCell ref="A26:B26"/>
    <mergeCell ref="A19:G19"/>
    <mergeCell ref="A23:G23"/>
    <mergeCell ref="A24:B24"/>
    <mergeCell ref="A25:B25"/>
    <mergeCell ref="A10:K10"/>
    <mergeCell ref="A1:K1"/>
    <mergeCell ref="A3:B5"/>
    <mergeCell ref="C3:F3"/>
    <mergeCell ref="H3:K3"/>
    <mergeCell ref="F4:F5"/>
    <mergeCell ref="G4:G5"/>
    <mergeCell ref="K4:K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ilha2"/>
  <dimension ref="A1:H15"/>
  <sheetViews>
    <sheetView workbookViewId="0">
      <selection activeCell="D23" sqref="D23"/>
    </sheetView>
  </sheetViews>
  <sheetFormatPr defaultRowHeight="12.75"/>
  <cols>
    <col min="1" max="1" width="49.85546875" customWidth="1"/>
    <col min="2" max="2" width="25.7109375" customWidth="1"/>
    <col min="3" max="7" width="15.7109375" customWidth="1"/>
  </cols>
  <sheetData>
    <row r="1" spans="1:8" ht="20.100000000000001" customHeight="1">
      <c r="A1" s="667" t="s">
        <v>344</v>
      </c>
      <c r="B1" s="668"/>
      <c r="C1" s="668"/>
      <c r="D1" s="668"/>
      <c r="E1" s="668"/>
      <c r="F1" s="668"/>
      <c r="G1" s="669"/>
    </row>
    <row r="2" spans="1:8" ht="8.1" customHeight="1">
      <c r="A2" s="670"/>
      <c r="B2" s="671"/>
      <c r="C2" s="671"/>
      <c r="D2" s="671"/>
      <c r="E2" s="671"/>
      <c r="F2" s="671"/>
      <c r="G2" s="672"/>
    </row>
    <row r="3" spans="1:8" ht="20.100000000000001" customHeight="1">
      <c r="A3" s="333" t="s">
        <v>286</v>
      </c>
      <c r="B3" s="330" t="s">
        <v>287</v>
      </c>
      <c r="C3" s="673" t="s">
        <v>14</v>
      </c>
      <c r="D3" s="675" t="s">
        <v>291</v>
      </c>
      <c r="E3" s="673" t="s">
        <v>292</v>
      </c>
      <c r="F3" s="330" t="s">
        <v>288</v>
      </c>
      <c r="G3" s="330" t="s">
        <v>293</v>
      </c>
    </row>
    <row r="4" spans="1:8" ht="20.100000000000001" customHeight="1">
      <c r="A4" s="334" t="s">
        <v>289</v>
      </c>
      <c r="B4" s="331" t="s">
        <v>290</v>
      </c>
      <c r="C4" s="674"/>
      <c r="D4" s="676"/>
      <c r="E4" s="674"/>
      <c r="F4" s="331" t="s">
        <v>293</v>
      </c>
      <c r="G4" s="331" t="s">
        <v>294</v>
      </c>
    </row>
    <row r="5" spans="1:8">
      <c r="A5" s="652" t="str">
        <f>'NS SIN HOR'!A7:K7</f>
        <v>RUA SETE</v>
      </c>
      <c r="B5" s="653"/>
      <c r="C5" s="653"/>
      <c r="D5" s="653"/>
      <c r="E5" s="653"/>
      <c r="F5" s="653"/>
      <c r="G5" s="655"/>
    </row>
    <row r="6" spans="1:8" ht="25.5">
      <c r="A6" s="332" t="s">
        <v>339</v>
      </c>
      <c r="B6" s="297" t="s">
        <v>295</v>
      </c>
      <c r="C6" s="297" t="s">
        <v>296</v>
      </c>
      <c r="D6" s="327">
        <v>0.6</v>
      </c>
      <c r="E6" s="328">
        <f>0.283*1</f>
        <v>0.28299999999999997</v>
      </c>
      <c r="F6" s="328">
        <v>1</v>
      </c>
      <c r="G6" s="297">
        <v>2</v>
      </c>
      <c r="H6" s="109"/>
    </row>
    <row r="7" spans="1:8">
      <c r="A7" s="652" t="str">
        <f>'TERRAP E PAVIM'!A10</f>
        <v>LIMPA RODA</v>
      </c>
      <c r="B7" s="653"/>
      <c r="C7" s="653"/>
      <c r="D7" s="653"/>
      <c r="E7" s="653"/>
      <c r="F7" s="653"/>
      <c r="G7" s="655"/>
    </row>
    <row r="8" spans="1:8" ht="25.5">
      <c r="A8" s="332" t="s">
        <v>340</v>
      </c>
      <c r="B8" s="297" t="s">
        <v>295</v>
      </c>
      <c r="C8" s="297" t="s">
        <v>296</v>
      </c>
      <c r="D8" s="327">
        <v>0.6</v>
      </c>
      <c r="E8" s="328">
        <f>0.283*1</f>
        <v>0.28299999999999997</v>
      </c>
      <c r="F8" s="328">
        <v>1</v>
      </c>
      <c r="G8" s="297">
        <v>2</v>
      </c>
      <c r="H8" s="109"/>
    </row>
    <row r="9" spans="1:8" ht="25.5">
      <c r="A9" s="332" t="s">
        <v>341</v>
      </c>
      <c r="B9" s="297" t="s">
        <v>295</v>
      </c>
      <c r="C9" s="297" t="s">
        <v>296</v>
      </c>
      <c r="D9" s="327">
        <v>0.6</v>
      </c>
      <c r="E9" s="328">
        <f>0.283*1</f>
        <v>0.28299999999999997</v>
      </c>
      <c r="F9" s="328">
        <v>1</v>
      </c>
      <c r="G9" s="297">
        <v>2</v>
      </c>
      <c r="H9" s="109"/>
    </row>
    <row r="10" spans="1:8" ht="25.5">
      <c r="A10" s="332" t="s">
        <v>342</v>
      </c>
      <c r="B10" s="297" t="s">
        <v>295</v>
      </c>
      <c r="C10" s="297" t="s">
        <v>296</v>
      </c>
      <c r="D10" s="327">
        <v>0.6</v>
      </c>
      <c r="E10" s="328">
        <f>0.283*1</f>
        <v>0.28299999999999997</v>
      </c>
      <c r="F10" s="328">
        <v>1</v>
      </c>
      <c r="G10" s="297">
        <v>2</v>
      </c>
      <c r="H10" s="109"/>
    </row>
    <row r="11" spans="1:8" ht="25.5">
      <c r="A11" s="332" t="s">
        <v>343</v>
      </c>
      <c r="B11" s="297" t="s">
        <v>295</v>
      </c>
      <c r="C11" s="297" t="s">
        <v>296</v>
      </c>
      <c r="D11" s="327">
        <v>0.6</v>
      </c>
      <c r="E11" s="328">
        <f>0.283*1</f>
        <v>0.28299999999999997</v>
      </c>
      <c r="F11" s="328">
        <v>1</v>
      </c>
      <c r="G11" s="297">
        <v>2</v>
      </c>
      <c r="H11" s="109"/>
    </row>
    <row r="12" spans="1:8">
      <c r="A12" s="652"/>
      <c r="B12" s="653"/>
      <c r="C12" s="653"/>
      <c r="D12" s="653"/>
      <c r="E12" s="653"/>
      <c r="F12" s="653"/>
      <c r="G12" s="655"/>
    </row>
    <row r="13" spans="1:8">
      <c r="A13" s="129" t="s">
        <v>295</v>
      </c>
      <c r="B13" s="297"/>
      <c r="C13" s="297"/>
      <c r="D13" s="329" t="s">
        <v>297</v>
      </c>
      <c r="E13" s="328">
        <f>SUM(E6+E8+E9+E10+E11)</f>
        <v>1.4149999999999998</v>
      </c>
      <c r="F13" s="328"/>
      <c r="G13" s="288"/>
    </row>
    <row r="14" spans="1:8">
      <c r="A14" s="129" t="s">
        <v>298</v>
      </c>
      <c r="B14" s="297"/>
      <c r="C14" s="297"/>
      <c r="D14" s="329" t="s">
        <v>299</v>
      </c>
      <c r="E14" s="328">
        <f>SUM(F6+F8+F9+F10+F11)</f>
        <v>5</v>
      </c>
      <c r="F14" s="328"/>
      <c r="G14" s="288"/>
    </row>
    <row r="15" spans="1:8">
      <c r="A15" s="129" t="s">
        <v>300</v>
      </c>
      <c r="B15" s="297"/>
      <c r="C15" s="297"/>
      <c r="D15" s="329" t="s">
        <v>299</v>
      </c>
      <c r="E15" s="328">
        <f>SUM(G6+G8+G9+G10+G11)</f>
        <v>10</v>
      </c>
      <c r="F15" s="328"/>
      <c r="G15" s="288"/>
    </row>
  </sheetData>
  <mergeCells count="8">
    <mergeCell ref="A12:G12"/>
    <mergeCell ref="A7:G7"/>
    <mergeCell ref="A1:G1"/>
    <mergeCell ref="A2:G2"/>
    <mergeCell ref="C3:C4"/>
    <mergeCell ref="D3:D4"/>
    <mergeCell ref="E3:E4"/>
    <mergeCell ref="A5:G5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5</vt:i4>
      </vt:variant>
    </vt:vector>
  </HeadingPairs>
  <TitlesOfParts>
    <vt:vector size="17" baseType="lpstr">
      <vt:lpstr>RESUMO</vt:lpstr>
      <vt:lpstr>QUANT</vt:lpstr>
      <vt:lpstr>ORÇA </vt:lpstr>
      <vt:lpstr>TRANSP</vt:lpstr>
      <vt:lpstr>CFF</vt:lpstr>
      <vt:lpstr>TERRAP E PAVIM</vt:lpstr>
      <vt:lpstr>MEMORIAL DE CALCULO</vt:lpstr>
      <vt:lpstr>NS SIN HOR</vt:lpstr>
      <vt:lpstr>NS SIN VERT</vt:lpstr>
      <vt:lpstr>BDI</vt:lpstr>
      <vt:lpstr>BDI DIFERENCIADO</vt:lpstr>
      <vt:lpstr>DRENO PROF</vt:lpstr>
      <vt:lpstr>'ORÇA '!Area_de_impressao</vt:lpstr>
      <vt:lpstr>QUANT!Area_de_impressao</vt:lpstr>
      <vt:lpstr>TRANSP!Area_de_impressao</vt:lpstr>
      <vt:lpstr>'ORÇA '!Titulos_de_impressao</vt:lpstr>
      <vt:lpstr>QUANT!Titulos_de_impressao</vt:lpstr>
    </vt:vector>
  </TitlesOfParts>
  <Company>ECP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ECP</dc:creator>
  <cp:lastModifiedBy>Usuario</cp:lastModifiedBy>
  <cp:lastPrinted>2022-04-12T12:34:38Z</cp:lastPrinted>
  <dcterms:created xsi:type="dcterms:W3CDTF">1997-03-06T18:55:11Z</dcterms:created>
  <dcterms:modified xsi:type="dcterms:W3CDTF">2023-07-28T21:42:24Z</dcterms:modified>
</cp:coreProperties>
</file>